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elVal Operating Files/LBC 2023 Financial Statements/Stress Tests/"/>
    </mc:Choice>
  </mc:AlternateContent>
  <xr:revisionPtr revIDLastSave="0" documentId="13_ncr:1_{4A2C203D-A515-F845-B160-78D5FB0A7AD1}" xr6:coauthVersionLast="47" xr6:coauthVersionMax="47" xr10:uidLastSave="{00000000-0000-0000-0000-000000000000}"/>
  <bookViews>
    <workbookView xWindow="23240" yWindow="500" windowWidth="19620" windowHeight="26580" tabRatio="500" activeTab="1" xr2:uid="{00000000-000D-0000-FFFF-FFFF00000000}"/>
  </bookViews>
  <sheets>
    <sheet name="Assumptions" sheetId="2" r:id="rId1"/>
    <sheet name="Coverage" sheetId="12" r:id="rId2"/>
    <sheet name="Debt Service" sheetId="1" r:id="rId3"/>
    <sheet name="Loan Origination" sheetId="6" r:id="rId4"/>
    <sheet name="Revenue Fund Cash Flow" sheetId="9" r:id="rId5"/>
    <sheet name="Loan Interest" sheetId="11" r:id="rId6"/>
    <sheet name="Origination Fees" sheetId="10" r:id="rId7"/>
    <sheet name="Recycling and Revenue earnings" sheetId="8" r:id="rId8"/>
    <sheet name="Administration" sheetId="5" r:id="rId9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W58" i="1" l="1"/>
  <c r="CK13" i="1"/>
  <c r="CK14" i="1"/>
  <c r="CK15" i="1"/>
  <c r="CG12" i="1"/>
  <c r="CG13" i="1"/>
  <c r="CG14" i="1"/>
  <c r="BG11" i="1"/>
  <c r="BG12" i="1"/>
  <c r="BG13" i="1"/>
  <c r="BC11" i="1"/>
  <c r="BC12" i="1"/>
  <c r="BC13" i="1"/>
  <c r="BC14" i="1"/>
  <c r="X11" i="1"/>
  <c r="X12" i="1"/>
  <c r="X13" i="1"/>
  <c r="X14" i="1"/>
  <c r="Q11" i="1"/>
  <c r="Q12" i="1"/>
  <c r="Q13" i="1"/>
  <c r="M11" i="1"/>
  <c r="M12" i="1"/>
  <c r="H5" i="12"/>
  <c r="C53" i="2"/>
  <c r="ED66" i="1"/>
  <c r="ED67" i="1" s="1"/>
  <c r="ED68" i="1" s="1"/>
  <c r="ED69" i="1" s="1"/>
  <c r="DS66" i="1"/>
  <c r="DO66" i="1"/>
  <c r="DK66" i="1"/>
  <c r="DG66" i="1"/>
  <c r="DM11" i="1" l="1"/>
  <c r="O10" i="12"/>
  <c r="C8" i="2"/>
  <c r="A8" i="5"/>
  <c r="AP99" i="6"/>
  <c r="AP100" i="6"/>
  <c r="AP101" i="6" s="1"/>
  <c r="AP102" i="6" s="1"/>
  <c r="AP103" i="6" s="1"/>
  <c r="AP104" i="6" s="1"/>
  <c r="AP105" i="6" s="1"/>
  <c r="AP77" i="6"/>
  <c r="AP78" i="6" s="1"/>
  <c r="AP79" i="6" s="1"/>
  <c r="AP80" i="6" s="1"/>
  <c r="AP81" i="6" s="1"/>
  <c r="AP82" i="6" s="1"/>
  <c r="AP83" i="6" s="1"/>
  <c r="AP84" i="6" s="1"/>
  <c r="AP85" i="6" s="1"/>
  <c r="AP86" i="6" s="1"/>
  <c r="AP87" i="6" s="1"/>
  <c r="AP88" i="6" s="1"/>
  <c r="AP89" i="6" s="1"/>
  <c r="AP43" i="6"/>
  <c r="AP44" i="6" s="1"/>
  <c r="AP45" i="6" s="1"/>
  <c r="AP46" i="6" s="1"/>
  <c r="AP47" i="6" s="1"/>
  <c r="AP48" i="6" s="1"/>
  <c r="AP49" i="6" s="1"/>
  <c r="AP50" i="6" s="1"/>
  <c r="AP51" i="6" s="1"/>
  <c r="AP52" i="6" s="1"/>
  <c r="AP53" i="6" s="1"/>
  <c r="A83" i="6"/>
  <c r="A82" i="6"/>
  <c r="A104" i="6"/>
  <c r="A103" i="6"/>
  <c r="DO296" i="1"/>
  <c r="DO256" i="1"/>
  <c r="DO203" i="1"/>
  <c r="DO142" i="1"/>
  <c r="DO78" i="1"/>
  <c r="DO67" i="1"/>
  <c r="DO69" i="1" s="1"/>
  <c r="E59" i="6" s="1"/>
  <c r="DO8" i="1"/>
  <c r="DK296" i="1"/>
  <c r="DK256" i="1"/>
  <c r="DK203" i="1"/>
  <c r="DK142" i="1"/>
  <c r="DK78" i="1"/>
  <c r="DK67" i="1"/>
  <c r="DK69" i="1" s="1"/>
  <c r="D59" i="6" s="1"/>
  <c r="DK8" i="1"/>
  <c r="C2" i="6"/>
  <c r="DD128" i="1"/>
  <c r="DD129" i="1"/>
  <c r="DD130" i="1"/>
  <c r="DC123" i="1"/>
  <c r="DC129" i="1"/>
  <c r="DC130" i="1"/>
  <c r="DC191" i="1" s="1"/>
  <c r="DC128" i="1"/>
  <c r="DG8" i="1"/>
  <c r="A11" i="1"/>
  <c r="DK11" i="1" s="1"/>
  <c r="BK186" i="1"/>
  <c r="BK123" i="1"/>
  <c r="BK68" i="1"/>
  <c r="BK67" i="1"/>
  <c r="BK53" i="1"/>
  <c r="X67" i="1"/>
  <c r="Q67" i="1"/>
  <c r="M67" i="1"/>
  <c r="U53" i="1"/>
  <c r="AN104" i="6" l="1"/>
  <c r="AN103" i="6"/>
  <c r="B2" i="6"/>
  <c r="A145" i="1"/>
  <c r="DQ11" i="1"/>
  <c r="DP11" i="1"/>
  <c r="DO11" i="1"/>
  <c r="DL11" i="1"/>
  <c r="DD11" i="1"/>
  <c r="DC11" i="1"/>
  <c r="A206" i="1"/>
  <c r="A259" i="1"/>
  <c r="A81" i="1"/>
  <c r="DQ206" i="1" l="1"/>
  <c r="DP206" i="1"/>
  <c r="DM206" i="1"/>
  <c r="DL206" i="1"/>
  <c r="DC81" i="1"/>
  <c r="DD81" i="1"/>
  <c r="B8" i="2" l="1"/>
  <c r="E8" i="2"/>
  <c r="CR82" i="1" l="1"/>
  <c r="CR146" i="1" s="1"/>
  <c r="CR81" i="1"/>
  <c r="CR145" i="1" s="1"/>
  <c r="CC82" i="1"/>
  <c r="CC146" i="1" s="1"/>
  <c r="CC81" i="1"/>
  <c r="CC145" i="1" s="1"/>
  <c r="X81" i="1"/>
  <c r="M81" i="1"/>
  <c r="M145" i="1" l="1"/>
  <c r="X145" i="1"/>
  <c r="A131" i="6"/>
  <c r="A10" i="6"/>
  <c r="BV186" i="1"/>
  <c r="BV123" i="1"/>
  <c r="BV53" i="1"/>
  <c r="BV67" i="1"/>
  <c r="B8" i="6"/>
  <c r="B1" i="6"/>
  <c r="C8" i="6"/>
  <c r="CZ68" i="1" l="1"/>
  <c r="CZ53" i="1"/>
  <c r="DC68" i="1" l="1"/>
  <c r="BN68" i="1"/>
  <c r="BV68" i="1" s="1"/>
  <c r="CR67" i="1"/>
  <c r="CZ67" i="1" s="1"/>
  <c r="A10" i="8" l="1"/>
  <c r="DC121" i="1" l="1"/>
  <c r="DC192" i="1"/>
  <c r="DC131" i="1"/>
  <c r="DC136" i="1" s="1"/>
  <c r="DC126" i="1"/>
  <c r="DC125" i="1"/>
  <c r="DC122" i="1"/>
  <c r="DC185" i="1" s="1"/>
  <c r="DS142" i="1"/>
  <c r="DG142" i="1"/>
  <c r="DC142" i="1"/>
  <c r="DS78" i="1"/>
  <c r="DG78" i="1"/>
  <c r="DC78" i="1"/>
  <c r="D9" i="2"/>
  <c r="D10" i="2" l="1"/>
  <c r="DC186" i="1"/>
  <c r="D11" i="2" l="1"/>
  <c r="CR54" i="1"/>
  <c r="D12" i="2" l="1"/>
  <c r="A105" i="6"/>
  <c r="A102" i="6"/>
  <c r="A101" i="6"/>
  <c r="A84" i="6"/>
  <c r="A81" i="6"/>
  <c r="A80" i="6"/>
  <c r="DS67" i="1"/>
  <c r="AN105" i="6" s="1"/>
  <c r="DG67" i="1"/>
  <c r="AN102" i="6" s="1"/>
  <c r="AN101" i="6"/>
  <c r="DC8" i="1"/>
  <c r="DS296" i="1"/>
  <c r="DS256" i="1"/>
  <c r="DG296" i="1"/>
  <c r="DG256" i="1"/>
  <c r="DC296" i="1"/>
  <c r="DC256" i="1"/>
  <c r="DS203" i="1"/>
  <c r="DG203" i="1"/>
  <c r="DC203" i="1"/>
  <c r="DS8" i="1"/>
  <c r="D13" i="2" l="1"/>
  <c r="DG69" i="1"/>
  <c r="C59" i="6" s="1"/>
  <c r="DS69" i="1"/>
  <c r="F59" i="6" s="1"/>
  <c r="DC69" i="1"/>
  <c r="D14" i="2" l="1"/>
  <c r="DC71" i="1"/>
  <c r="AN69" i="1"/>
  <c r="D15" i="2" l="1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D16" i="2" l="1"/>
  <c r="AN100" i="6"/>
  <c r="AN99" i="6"/>
  <c r="D17" i="2" l="1"/>
  <c r="CK192" i="1"/>
  <c r="CC197" i="1" l="1"/>
  <c r="CR192" i="1"/>
  <c r="CR197" i="1" s="1"/>
  <c r="CR191" i="1"/>
  <c r="D154" i="1"/>
  <c r="CO61" i="1"/>
  <c r="CK131" i="1"/>
  <c r="CK134" i="1"/>
  <c r="CK133" i="1"/>
  <c r="CR134" i="1"/>
  <c r="CR133" i="1"/>
  <c r="CR128" i="1"/>
  <c r="CR131" i="1"/>
  <c r="CR136" i="1" s="1"/>
  <c r="CR126" i="1"/>
  <c r="CR125" i="1"/>
  <c r="CR123" i="1"/>
  <c r="CR122" i="1"/>
  <c r="CR185" i="1" s="1"/>
  <c r="Q128" i="1"/>
  <c r="X128" i="1"/>
  <c r="AB128" i="1"/>
  <c r="AF128" i="1"/>
  <c r="AR128" i="1"/>
  <c r="AY128" i="1"/>
  <c r="BG128" i="1"/>
  <c r="BC128" i="1"/>
  <c r="CR186" i="1" l="1"/>
  <c r="CZ82" i="1" l="1"/>
  <c r="CZ81" i="1"/>
  <c r="EA140" i="1"/>
  <c r="EB140" i="1" s="1"/>
  <c r="CZ142" i="1"/>
  <c r="CV142" i="1"/>
  <c r="CR142" i="1"/>
  <c r="CO142" i="1"/>
  <c r="CK142" i="1"/>
  <c r="CG142" i="1"/>
  <c r="CC142" i="1"/>
  <c r="BY142" i="1"/>
  <c r="BV142" i="1"/>
  <c r="BR142" i="1"/>
  <c r="BN142" i="1"/>
  <c r="BK142" i="1"/>
  <c r="BG142" i="1"/>
  <c r="BC142" i="1"/>
  <c r="AY142" i="1"/>
  <c r="AV142" i="1"/>
  <c r="AR142" i="1"/>
  <c r="AN142" i="1"/>
  <c r="AJ142" i="1"/>
  <c r="AF142" i="1"/>
  <c r="AB142" i="1"/>
  <c r="X142" i="1"/>
  <c r="U142" i="1"/>
  <c r="Q142" i="1"/>
  <c r="M142" i="1"/>
  <c r="ED146" i="1"/>
  <c r="ED147" i="1" s="1"/>
  <c r="ED148" i="1" s="1"/>
  <c r="ED149" i="1" s="1"/>
  <c r="ED150" i="1" s="1"/>
  <c r="ED151" i="1" s="1"/>
  <c r="ED152" i="1" s="1"/>
  <c r="ED153" i="1" s="1"/>
  <c r="ED154" i="1" s="1"/>
  <c r="ED155" i="1" s="1"/>
  <c r="ED156" i="1" s="1"/>
  <c r="ED157" i="1" s="1"/>
  <c r="ED158" i="1" s="1"/>
  <c r="ED159" i="1" s="1"/>
  <c r="ED160" i="1" s="1"/>
  <c r="ED161" i="1" s="1"/>
  <c r="ED162" i="1" s="1"/>
  <c r="ED163" i="1" s="1"/>
  <c r="ED164" i="1" s="1"/>
  <c r="ED165" i="1" s="1"/>
  <c r="ED166" i="1" s="1"/>
  <c r="ED167" i="1" s="1"/>
  <c r="ED168" i="1" s="1"/>
  <c r="ED169" i="1" s="1"/>
  <c r="ED170" i="1" s="1"/>
  <c r="ED171" i="1" s="1"/>
  <c r="ED172" i="1" s="1"/>
  <c r="ED173" i="1" s="1"/>
  <c r="ED174" i="1" s="1"/>
  <c r="ED175" i="1" s="1"/>
  <c r="ED176" i="1" s="1"/>
  <c r="ED177" i="1" s="1"/>
  <c r="ED178" i="1" s="1"/>
  <c r="ED179" i="1" s="1"/>
  <c r="ED180" i="1" s="1"/>
  <c r="ED181" i="1" s="1"/>
  <c r="ED82" i="1"/>
  <c r="ED83" i="1" s="1"/>
  <c r="ED84" i="1" s="1"/>
  <c r="ED85" i="1" s="1"/>
  <c r="ED86" i="1" s="1"/>
  <c r="ED87" i="1" s="1"/>
  <c r="ED88" i="1" s="1"/>
  <c r="ED89" i="1" s="1"/>
  <c r="ED90" i="1" s="1"/>
  <c r="ED91" i="1" s="1"/>
  <c r="ED92" i="1" s="1"/>
  <c r="ED93" i="1" s="1"/>
  <c r="ED94" i="1" s="1"/>
  <c r="ED95" i="1" s="1"/>
  <c r="ED96" i="1" s="1"/>
  <c r="ED97" i="1" s="1"/>
  <c r="ED98" i="1" s="1"/>
  <c r="ED99" i="1" s="1"/>
  <c r="ED100" i="1" s="1"/>
  <c r="ED101" i="1" s="1"/>
  <c r="ED102" i="1" s="1"/>
  <c r="ED103" i="1" s="1"/>
  <c r="ED104" i="1" s="1"/>
  <c r="ED105" i="1" s="1"/>
  <c r="ED106" i="1" s="1"/>
  <c r="ED107" i="1" s="1"/>
  <c r="ED108" i="1" s="1"/>
  <c r="ED109" i="1" s="1"/>
  <c r="ED110" i="1" s="1"/>
  <c r="ED111" i="1" s="1"/>
  <c r="ED112" i="1" s="1"/>
  <c r="ED113" i="1" s="1"/>
  <c r="ED114" i="1" s="1"/>
  <c r="ED115" i="1" s="1"/>
  <c r="ED116" i="1" s="1"/>
  <c r="ED117" i="1" s="1"/>
  <c r="EA76" i="1"/>
  <c r="EB76" i="1" s="1"/>
  <c r="B141" i="1"/>
  <c r="CZ78" i="1"/>
  <c r="CV78" i="1"/>
  <c r="CR78" i="1"/>
  <c r="CO78" i="1"/>
  <c r="CK78" i="1"/>
  <c r="CG78" i="1"/>
  <c r="CC78" i="1"/>
  <c r="BY78" i="1"/>
  <c r="BV78" i="1"/>
  <c r="BR78" i="1"/>
  <c r="BN78" i="1"/>
  <c r="BK78" i="1"/>
  <c r="BG78" i="1"/>
  <c r="BC78" i="1"/>
  <c r="AY78" i="1"/>
  <c r="AV78" i="1"/>
  <c r="AR78" i="1"/>
  <c r="AN78" i="1"/>
  <c r="AJ78" i="1"/>
  <c r="AF78" i="1"/>
  <c r="AB78" i="1"/>
  <c r="X78" i="1"/>
  <c r="U78" i="1"/>
  <c r="Q78" i="1"/>
  <c r="M78" i="1"/>
  <c r="B77" i="1"/>
  <c r="B255" i="1"/>
  <c r="B202" i="1"/>
  <c r="D90" i="1"/>
  <c r="A76" i="1"/>
  <c r="B76" i="1" s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Q76" i="1" s="1"/>
  <c r="AR76" i="1" s="1"/>
  <c r="AS76" i="1" s="1"/>
  <c r="AT76" i="1" s="1"/>
  <c r="AU76" i="1" s="1"/>
  <c r="AV76" i="1" s="1"/>
  <c r="AW76" i="1" s="1"/>
  <c r="AX76" i="1" s="1"/>
  <c r="AY76" i="1" s="1"/>
  <c r="AZ76" i="1" s="1"/>
  <c r="BA76" i="1" s="1"/>
  <c r="BB76" i="1" s="1"/>
  <c r="BC76" i="1" s="1"/>
  <c r="BD76" i="1" s="1"/>
  <c r="BE76" i="1" s="1"/>
  <c r="BT119" i="1"/>
  <c r="BN122" i="1"/>
  <c r="CC122" i="1"/>
  <c r="CK122" i="1"/>
  <c r="CK185" i="1" s="1"/>
  <c r="U123" i="1"/>
  <c r="AV123" i="1"/>
  <c r="CC123" i="1"/>
  <c r="CC186" i="1" s="1"/>
  <c r="CK123" i="1"/>
  <c r="CK186" i="1" s="1"/>
  <c r="AV128" i="1"/>
  <c r="BN128" i="1"/>
  <c r="AV131" i="1"/>
  <c r="M136" i="1"/>
  <c r="Q136" i="1"/>
  <c r="X136" i="1"/>
  <c r="AB136" i="1"/>
  <c r="AF136" i="1"/>
  <c r="AN136" i="1"/>
  <c r="AR136" i="1"/>
  <c r="AY136" i="1"/>
  <c r="A140" i="1"/>
  <c r="B140" i="1" s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Q140" i="1" s="1"/>
  <c r="R140" i="1" s="1"/>
  <c r="S140" i="1" s="1"/>
  <c r="T140" i="1" s="1"/>
  <c r="U140" i="1" s="1"/>
  <c r="V140" i="1" s="1"/>
  <c r="W140" i="1" s="1"/>
  <c r="X140" i="1" s="1"/>
  <c r="Y140" i="1" s="1"/>
  <c r="Z140" i="1" s="1"/>
  <c r="AA140" i="1" s="1"/>
  <c r="AB140" i="1" s="1"/>
  <c r="AC140" i="1" s="1"/>
  <c r="AD140" i="1" s="1"/>
  <c r="AE140" i="1" s="1"/>
  <c r="AF140" i="1" s="1"/>
  <c r="AG140" i="1" s="1"/>
  <c r="AH140" i="1" s="1"/>
  <c r="AI140" i="1" s="1"/>
  <c r="AJ140" i="1" s="1"/>
  <c r="AK140" i="1" s="1"/>
  <c r="AL140" i="1" s="1"/>
  <c r="AM140" i="1" s="1"/>
  <c r="AN140" i="1" s="1"/>
  <c r="AO140" i="1" s="1"/>
  <c r="AP140" i="1" s="1"/>
  <c r="AQ140" i="1" s="1"/>
  <c r="AR140" i="1" s="1"/>
  <c r="AS140" i="1" s="1"/>
  <c r="AT140" i="1" s="1"/>
  <c r="AU140" i="1" s="1"/>
  <c r="AV140" i="1" s="1"/>
  <c r="AW140" i="1" s="1"/>
  <c r="AX140" i="1" s="1"/>
  <c r="AY140" i="1" s="1"/>
  <c r="AZ140" i="1" s="1"/>
  <c r="BA140" i="1" s="1"/>
  <c r="BB140" i="1" s="1"/>
  <c r="BC140" i="1" s="1"/>
  <c r="BD140" i="1" s="1"/>
  <c r="BE140" i="1" s="1"/>
  <c r="BF140" i="1" s="1"/>
  <c r="BG140" i="1" s="1"/>
  <c r="BH140" i="1" s="1"/>
  <c r="BI140" i="1" s="1"/>
  <c r="BJ140" i="1" s="1"/>
  <c r="BK140" i="1" s="1"/>
  <c r="BL140" i="1" s="1"/>
  <c r="BM140" i="1" s="1"/>
  <c r="BN140" i="1" s="1"/>
  <c r="BO140" i="1" s="1"/>
  <c r="BP140" i="1" s="1"/>
  <c r="BQ140" i="1" s="1"/>
  <c r="BR140" i="1" s="1"/>
  <c r="BS140" i="1" s="1"/>
  <c r="BT140" i="1" s="1"/>
  <c r="BU140" i="1" s="1"/>
  <c r="BV140" i="1" s="1"/>
  <c r="BW140" i="1" s="1"/>
  <c r="BX140" i="1" s="1"/>
  <c r="BY140" i="1" s="1"/>
  <c r="BZ140" i="1" s="1"/>
  <c r="BN185" i="1"/>
  <c r="U186" i="1"/>
  <c r="AV186" i="1"/>
  <c r="AV191" i="1"/>
  <c r="BN191" i="1"/>
  <c r="AV192" i="1"/>
  <c r="M197" i="1"/>
  <c r="Q197" i="1"/>
  <c r="X197" i="1"/>
  <c r="AB197" i="1"/>
  <c r="AF197" i="1"/>
  <c r="AN197" i="1"/>
  <c r="AR197" i="1"/>
  <c r="AY197" i="1"/>
  <c r="BY197" i="1"/>
  <c r="ED260" i="1"/>
  <c r="ED261" i="1" s="1"/>
  <c r="ED262" i="1" s="1"/>
  <c r="ED263" i="1" s="1"/>
  <c r="ED264" i="1" s="1"/>
  <c r="ED265" i="1" s="1"/>
  <c r="ED266" i="1" s="1"/>
  <c r="ED267" i="1" s="1"/>
  <c r="ED268" i="1" s="1"/>
  <c r="ED269" i="1" s="1"/>
  <c r="ED270" i="1" s="1"/>
  <c r="ED271" i="1" s="1"/>
  <c r="ED272" i="1" s="1"/>
  <c r="ED273" i="1" s="1"/>
  <c r="ED274" i="1" s="1"/>
  <c r="ED275" i="1" s="1"/>
  <c r="ED276" i="1" s="1"/>
  <c r="ED277" i="1" s="1"/>
  <c r="ED278" i="1" s="1"/>
  <c r="ED279" i="1" s="1"/>
  <c r="ED280" i="1" s="1"/>
  <c r="ED281" i="1" s="1"/>
  <c r="ED282" i="1" s="1"/>
  <c r="ED283" i="1" s="1"/>
  <c r="ED284" i="1" s="1"/>
  <c r="ED285" i="1" s="1"/>
  <c r="ED286" i="1" s="1"/>
  <c r="ED287" i="1" s="1"/>
  <c r="ED288" i="1" s="1"/>
  <c r="ED289" i="1" s="1"/>
  <c r="ED290" i="1" s="1"/>
  <c r="ED291" i="1" s="1"/>
  <c r="ED292" i="1" s="1"/>
  <c r="ED293" i="1" s="1"/>
  <c r="ED294" i="1" s="1"/>
  <c r="ED295" i="1" s="1"/>
  <c r="ED12" i="1"/>
  <c r="ED13" i="1" s="1"/>
  <c r="ED14" i="1" s="1"/>
  <c r="ED15" i="1" s="1"/>
  <c r="ED16" i="1" s="1"/>
  <c r="ED17" i="1" s="1"/>
  <c r="ED18" i="1" s="1"/>
  <c r="ED19" i="1" s="1"/>
  <c r="ED20" i="1" s="1"/>
  <c r="ED21" i="1" s="1"/>
  <c r="ED22" i="1" s="1"/>
  <c r="ED23" i="1" s="1"/>
  <c r="ED24" i="1" s="1"/>
  <c r="ED25" i="1" s="1"/>
  <c r="ED26" i="1" s="1"/>
  <c r="ED27" i="1" s="1"/>
  <c r="ED28" i="1" s="1"/>
  <c r="ED29" i="1" s="1"/>
  <c r="ED30" i="1" s="1"/>
  <c r="ED31" i="1" s="1"/>
  <c r="ED32" i="1" s="1"/>
  <c r="ED33" i="1" s="1"/>
  <c r="ED34" i="1" s="1"/>
  <c r="ED35" i="1" s="1"/>
  <c r="ED36" i="1" s="1"/>
  <c r="ED37" i="1" s="1"/>
  <c r="ED38" i="1" s="1"/>
  <c r="ED39" i="1" s="1"/>
  <c r="ED40" i="1" s="1"/>
  <c r="ED41" i="1" s="1"/>
  <c r="ED42" i="1" s="1"/>
  <c r="ED43" i="1" s="1"/>
  <c r="ED44" i="1" s="1"/>
  <c r="ED45" i="1" s="1"/>
  <c r="ED46" i="1" s="1"/>
  <c r="ED47" i="1" s="1"/>
  <c r="U256" i="1"/>
  <c r="Q256" i="1"/>
  <c r="M256" i="1"/>
  <c r="X256" i="1"/>
  <c r="X8" i="1"/>
  <c r="AB256" i="1"/>
  <c r="AB8" i="1"/>
  <c r="AV256" i="1"/>
  <c r="AR256" i="1"/>
  <c r="AN256" i="1"/>
  <c r="AJ256" i="1"/>
  <c r="AF256" i="1"/>
  <c r="AV203" i="1"/>
  <c r="AR203" i="1"/>
  <c r="AN203" i="1"/>
  <c r="AJ203" i="1"/>
  <c r="AF203" i="1"/>
  <c r="AV8" i="1"/>
  <c r="AR8" i="1"/>
  <c r="AN8" i="1"/>
  <c r="AJ8" i="1"/>
  <c r="AF8" i="1"/>
  <c r="BK256" i="1"/>
  <c r="BG256" i="1"/>
  <c r="BC256" i="1"/>
  <c r="AY256" i="1"/>
  <c r="BK8" i="1"/>
  <c r="BG8" i="1"/>
  <c r="BC8" i="1"/>
  <c r="AY8" i="1"/>
  <c r="BV256" i="1"/>
  <c r="BR256" i="1"/>
  <c r="BN256" i="1"/>
  <c r="BV203" i="1"/>
  <c r="BR203" i="1"/>
  <c r="BN203" i="1"/>
  <c r="BV8" i="1"/>
  <c r="BR8" i="1"/>
  <c r="BN8" i="1"/>
  <c r="BY256" i="1"/>
  <c r="BY8" i="1"/>
  <c r="CO256" i="1"/>
  <c r="CK256" i="1"/>
  <c r="CG256" i="1"/>
  <c r="CC256" i="1"/>
  <c r="CO8" i="1"/>
  <c r="CK8" i="1"/>
  <c r="CG8" i="1"/>
  <c r="CC8" i="1"/>
  <c r="CV296" i="1"/>
  <c r="CR296" i="1"/>
  <c r="CZ256" i="1"/>
  <c r="CV256" i="1"/>
  <c r="CR256" i="1"/>
  <c r="BF76" i="1" l="1"/>
  <c r="BG76" i="1" s="1"/>
  <c r="BH76" i="1" s="1"/>
  <c r="BI76" i="1" s="1"/>
  <c r="BJ76" i="1" s="1"/>
  <c r="BK76" i="1" s="1"/>
  <c r="BL76" i="1" s="1"/>
  <c r="CC185" i="1"/>
  <c r="CV203" i="1"/>
  <c r="CR203" i="1"/>
  <c r="CO203" i="1"/>
  <c r="BM76" i="1" l="1"/>
  <c r="BN76" i="1" s="1"/>
  <c r="BO76" i="1" s="1"/>
  <c r="BP76" i="1" s="1"/>
  <c r="BQ76" i="1" s="1"/>
  <c r="BR76" i="1" s="1"/>
  <c r="BS76" i="1" s="1"/>
  <c r="BT76" i="1" s="1"/>
  <c r="BU76" i="1" s="1"/>
  <c r="BV76" i="1" s="1"/>
  <c r="BW76" i="1" s="1"/>
  <c r="BX76" i="1" s="1"/>
  <c r="BY76" i="1" s="1"/>
  <c r="BZ76" i="1" s="1"/>
  <c r="CA76" i="1" s="1"/>
  <c r="CB76" i="1" s="1"/>
  <c r="CC76" i="1" s="1"/>
  <c r="CD76" i="1" s="1"/>
  <c r="CE76" i="1" s="1"/>
  <c r="CF76" i="1" s="1"/>
  <c r="CG76" i="1" s="1"/>
  <c r="CH76" i="1" s="1"/>
  <c r="CI76" i="1" s="1"/>
  <c r="CJ76" i="1" s="1"/>
  <c r="CK76" i="1" s="1"/>
  <c r="CL76" i="1" s="1"/>
  <c r="CM76" i="1" s="1"/>
  <c r="CN76" i="1" s="1"/>
  <c r="CO76" i="1" s="1"/>
  <c r="CP76" i="1" s="1"/>
  <c r="CQ76" i="1" s="1"/>
  <c r="CR76" i="1" s="1"/>
  <c r="CS76" i="1" s="1"/>
  <c r="CT76" i="1" s="1"/>
  <c r="CU76" i="1" s="1"/>
  <c r="CV76" i="1" s="1"/>
  <c r="CW76" i="1" s="1"/>
  <c r="CX76" i="1" s="1"/>
  <c r="CY76" i="1" s="1"/>
  <c r="CZ76" i="1" s="1"/>
  <c r="DA76" i="1" s="1"/>
  <c r="DB76" i="1" s="1"/>
  <c r="DC76" i="1" s="1"/>
  <c r="DD76" i="1" s="1"/>
  <c r="DE76" i="1" s="1"/>
  <c r="DF76" i="1" s="1"/>
  <c r="DG76" i="1" s="1"/>
  <c r="DH76" i="1" s="1"/>
  <c r="DI76" i="1" s="1"/>
  <c r="CA140" i="1"/>
  <c r="CB140" i="1" s="1"/>
  <c r="CC140" i="1" s="1"/>
  <c r="CD140" i="1" s="1"/>
  <c r="CE140" i="1" s="1"/>
  <c r="CF140" i="1" s="1"/>
  <c r="CG140" i="1" s="1"/>
  <c r="CH140" i="1" s="1"/>
  <c r="CI140" i="1" s="1"/>
  <c r="CJ140" i="1" s="1"/>
  <c r="CK140" i="1" s="1"/>
  <c r="CL140" i="1" s="1"/>
  <c r="CM140" i="1" s="1"/>
  <c r="CN140" i="1" s="1"/>
  <c r="CO140" i="1" s="1"/>
  <c r="CP140" i="1" s="1"/>
  <c r="CQ140" i="1" s="1"/>
  <c r="CR140" i="1" s="1"/>
  <c r="CS140" i="1" s="1"/>
  <c r="CT140" i="1" s="1"/>
  <c r="CU140" i="1" s="1"/>
  <c r="CV140" i="1" s="1"/>
  <c r="CW140" i="1" s="1"/>
  <c r="CX140" i="1" s="1"/>
  <c r="CY140" i="1" s="1"/>
  <c r="CZ140" i="1" s="1"/>
  <c r="DA140" i="1" s="1"/>
  <c r="DB140" i="1" s="1"/>
  <c r="DC140" i="1" s="1"/>
  <c r="DD140" i="1" s="1"/>
  <c r="DE140" i="1" s="1"/>
  <c r="DF140" i="1" s="1"/>
  <c r="DG140" i="1" s="1"/>
  <c r="DH140" i="1" s="1"/>
  <c r="DZ145" i="1"/>
  <c r="CZ145" i="1"/>
  <c r="DZ81" i="1"/>
  <c r="AN81" i="1"/>
  <c r="AN145" i="1" s="1"/>
  <c r="AZ81" i="1"/>
  <c r="CS81" i="1"/>
  <c r="AG81" i="1"/>
  <c r="BZ81" i="1"/>
  <c r="BO81" i="1"/>
  <c r="CD81" i="1"/>
  <c r="AC81" i="1"/>
  <c r="Y81" i="1"/>
  <c r="R81" i="1"/>
  <c r="A82" i="1"/>
  <c r="N81" i="1"/>
  <c r="A146" i="1"/>
  <c r="E17" i="2"/>
  <c r="C17" i="2"/>
  <c r="C18" i="2"/>
  <c r="B17" i="2"/>
  <c r="DZ6" i="1"/>
  <c r="CV69" i="1"/>
  <c r="CR8" i="1"/>
  <c r="DI140" i="1" l="1"/>
  <c r="DJ140" i="1" s="1"/>
  <c r="DK140" i="1" s="1"/>
  <c r="DL140" i="1" s="1"/>
  <c r="DM140" i="1" s="1"/>
  <c r="DN140" i="1" s="1"/>
  <c r="DO140" i="1" s="1"/>
  <c r="DP140" i="1" s="1"/>
  <c r="DQ140" i="1" s="1"/>
  <c r="DR140" i="1" s="1"/>
  <c r="DS140" i="1" s="1"/>
  <c r="DT140" i="1" s="1"/>
  <c r="DU140" i="1" s="1"/>
  <c r="DV140" i="1" s="1"/>
  <c r="DW140" i="1" s="1"/>
  <c r="DX140" i="1" s="1"/>
  <c r="DJ76" i="1"/>
  <c r="DK76" i="1" s="1"/>
  <c r="DL76" i="1" s="1"/>
  <c r="DM76" i="1" s="1"/>
  <c r="DN76" i="1" s="1"/>
  <c r="DO76" i="1" s="1"/>
  <c r="DP76" i="1" s="1"/>
  <c r="DQ76" i="1" s="1"/>
  <c r="DR76" i="1" s="1"/>
  <c r="DS76" i="1" s="1"/>
  <c r="DT76" i="1" s="1"/>
  <c r="DU76" i="1" s="1"/>
  <c r="DV76" i="1" s="1"/>
  <c r="DW76" i="1" s="1"/>
  <c r="DX76" i="1" s="1"/>
  <c r="DC82" i="1"/>
  <c r="DD82" i="1"/>
  <c r="D19" i="2"/>
  <c r="C154" i="1"/>
  <c r="C90" i="1"/>
  <c r="D155" i="1"/>
  <c r="D91" i="1"/>
  <c r="E18" i="2"/>
  <c r="C155" i="1"/>
  <c r="C91" i="1"/>
  <c r="E154" i="1"/>
  <c r="E90" i="1"/>
  <c r="B154" i="1"/>
  <c r="B90" i="1"/>
  <c r="C145" i="1"/>
  <c r="C81" i="1"/>
  <c r="D145" i="1"/>
  <c r="DD145" i="1" s="1"/>
  <c r="D81" i="1"/>
  <c r="DZ146" i="1"/>
  <c r="CZ146" i="1"/>
  <c r="A83" i="1"/>
  <c r="N82" i="1"/>
  <c r="DZ82" i="1"/>
  <c r="AN82" i="1"/>
  <c r="AN146" i="1" s="1"/>
  <c r="AZ82" i="1"/>
  <c r="CS82" i="1"/>
  <c r="AG82" i="1"/>
  <c r="BZ82" i="1"/>
  <c r="BO82" i="1"/>
  <c r="CD82" i="1"/>
  <c r="Y82" i="1"/>
  <c r="R82" i="1"/>
  <c r="AC82" i="1"/>
  <c r="A147" i="1"/>
  <c r="CZ8" i="1"/>
  <c r="CZ203" i="1" s="1"/>
  <c r="CV8" i="1"/>
  <c r="CO68" i="1"/>
  <c r="CO53" i="1"/>
  <c r="DC83" i="1" l="1"/>
  <c r="DD83" i="1"/>
  <c r="D156" i="1"/>
  <c r="D92" i="1"/>
  <c r="D20" i="2"/>
  <c r="AC83" i="1"/>
  <c r="AZ83" i="1"/>
  <c r="R83" i="1"/>
  <c r="Y83" i="1"/>
  <c r="CD83" i="1"/>
  <c r="BO83" i="1"/>
  <c r="BP83" i="1"/>
  <c r="BW83" i="1" s="1"/>
  <c r="DZ83" i="1"/>
  <c r="E19" i="2"/>
  <c r="C19" i="2"/>
  <c r="E155" i="1"/>
  <c r="E91" i="1"/>
  <c r="E145" i="1"/>
  <c r="E81" i="1"/>
  <c r="Y145" i="1"/>
  <c r="R145" i="1"/>
  <c r="CD145" i="1"/>
  <c r="AS145" i="1"/>
  <c r="BH145" i="1"/>
  <c r="AO145" i="1"/>
  <c r="N145" i="1"/>
  <c r="CS145" i="1"/>
  <c r="BO145" i="1"/>
  <c r="BD145" i="1"/>
  <c r="AG145" i="1"/>
  <c r="AC145" i="1"/>
  <c r="BZ145" i="1"/>
  <c r="AZ145" i="1"/>
  <c r="B145" i="1"/>
  <c r="B81" i="1"/>
  <c r="AO81" i="1"/>
  <c r="AS81" i="1"/>
  <c r="CS83" i="1"/>
  <c r="AG83" i="1"/>
  <c r="BZ83" i="1"/>
  <c r="DZ147" i="1"/>
  <c r="BP147" i="1"/>
  <c r="BW147" i="1" s="1"/>
  <c r="BO147" i="1"/>
  <c r="N83" i="1"/>
  <c r="AN83" i="1"/>
  <c r="AN147" i="1" s="1"/>
  <c r="A84" i="1"/>
  <c r="A148" i="1"/>
  <c r="B259" i="1"/>
  <c r="B268" i="1"/>
  <c r="B206" i="1"/>
  <c r="B215" i="1"/>
  <c r="B11" i="1"/>
  <c r="G11" i="1"/>
  <c r="B20" i="1"/>
  <c r="DD84" i="1" l="1"/>
  <c r="DC84" i="1"/>
  <c r="D157" i="1"/>
  <c r="AC84" i="1"/>
  <c r="D21" i="2"/>
  <c r="CS84" i="1"/>
  <c r="C20" i="2"/>
  <c r="C157" i="1" s="1"/>
  <c r="E20" i="2"/>
  <c r="E157" i="1" s="1"/>
  <c r="D93" i="1"/>
  <c r="C156" i="1"/>
  <c r="C92" i="1"/>
  <c r="E156" i="1"/>
  <c r="E92" i="1"/>
  <c r="BH81" i="1"/>
  <c r="BD81" i="1"/>
  <c r="AG84" i="1"/>
  <c r="BO84" i="1"/>
  <c r="BZ84" i="1"/>
  <c r="BP84" i="1"/>
  <c r="BW84" i="1" s="1"/>
  <c r="A85" i="1"/>
  <c r="N84" i="1"/>
  <c r="CD84" i="1"/>
  <c r="AN84" i="1"/>
  <c r="AN148" i="1" s="1"/>
  <c r="AZ84" i="1"/>
  <c r="R84" i="1"/>
  <c r="DZ148" i="1"/>
  <c r="BO148" i="1"/>
  <c r="BP148" i="1"/>
  <c r="BW148" i="1" s="1"/>
  <c r="Y84" i="1"/>
  <c r="DZ84" i="1"/>
  <c r="A149" i="1"/>
  <c r="DD85" i="1" l="1"/>
  <c r="DC85" i="1"/>
  <c r="D22" i="2"/>
  <c r="D159" i="1" s="1"/>
  <c r="C21" i="2"/>
  <c r="C158" i="1" s="1"/>
  <c r="E21" i="2"/>
  <c r="E158" i="1" s="1"/>
  <c r="D158" i="1"/>
  <c r="D94" i="1"/>
  <c r="C93" i="1"/>
  <c r="E93" i="1"/>
  <c r="DZ85" i="1"/>
  <c r="R85" i="1"/>
  <c r="AG85" i="1"/>
  <c r="Y85" i="1"/>
  <c r="CS85" i="1"/>
  <c r="A86" i="1"/>
  <c r="N85" i="1"/>
  <c r="AC85" i="1"/>
  <c r="BP85" i="1"/>
  <c r="BW85" i="1" s="1"/>
  <c r="DZ149" i="1"/>
  <c r="BP149" i="1"/>
  <c r="BW149" i="1" s="1"/>
  <c r="BO149" i="1"/>
  <c r="CD85" i="1"/>
  <c r="BO85" i="1"/>
  <c r="AN85" i="1"/>
  <c r="AN149" i="1" s="1"/>
  <c r="AZ85" i="1"/>
  <c r="BZ85" i="1"/>
  <c r="A150" i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J9" i="2"/>
  <c r="A76" i="6"/>
  <c r="A97" i="6" s="1"/>
  <c r="E4" i="12"/>
  <c r="CK58" i="1"/>
  <c r="CK191" i="1" s="1"/>
  <c r="CG58" i="1"/>
  <c r="D23" i="2" l="1"/>
  <c r="D24" i="2" s="1"/>
  <c r="DD86" i="1"/>
  <c r="DC86" i="1"/>
  <c r="D95" i="1"/>
  <c r="C22" i="2"/>
  <c r="C95" i="1" s="1"/>
  <c r="E22" i="2"/>
  <c r="E95" i="1" s="1"/>
  <c r="J10" i="2"/>
  <c r="K9" i="2"/>
  <c r="C94" i="1"/>
  <c r="E94" i="1"/>
  <c r="CO58" i="1"/>
  <c r="AN86" i="1"/>
  <c r="AN150" i="1" s="1"/>
  <c r="CD86" i="1"/>
  <c r="AP86" i="1"/>
  <c r="Y86" i="1"/>
  <c r="BO86" i="1"/>
  <c r="R86" i="1"/>
  <c r="S86" i="1"/>
  <c r="AG86" i="1"/>
  <c r="A87" i="1"/>
  <c r="BP86" i="1"/>
  <c r="BW86" i="1" s="1"/>
  <c r="AO86" i="1"/>
  <c r="CS86" i="1"/>
  <c r="DZ86" i="1"/>
  <c r="AZ86" i="1"/>
  <c r="O86" i="1"/>
  <c r="AC86" i="1"/>
  <c r="N86" i="1"/>
  <c r="BZ86" i="1"/>
  <c r="D160" i="1"/>
  <c r="D96" i="1"/>
  <c r="C23" i="2"/>
  <c r="E23" i="2"/>
  <c r="CL145" i="1"/>
  <c r="DZ150" i="1"/>
  <c r="BP150" i="1"/>
  <c r="BW150" i="1" s="1"/>
  <c r="BO150" i="1"/>
  <c r="O150" i="1"/>
  <c r="AP150" i="1"/>
  <c r="R150" i="1"/>
  <c r="S150" i="1"/>
  <c r="AO150" i="1"/>
  <c r="N150" i="1"/>
  <c r="CK128" i="1"/>
  <c r="A151" i="1"/>
  <c r="D259" i="1"/>
  <c r="D206" i="1"/>
  <c r="D11" i="1"/>
  <c r="D268" i="1"/>
  <c r="D20" i="1"/>
  <c r="D215" i="1"/>
  <c r="CG296" i="1"/>
  <c r="CG203" i="1"/>
  <c r="E159" i="1" l="1"/>
  <c r="DP259" i="1"/>
  <c r="DL259" i="1"/>
  <c r="C159" i="1"/>
  <c r="DD87" i="1"/>
  <c r="DC87" i="1"/>
  <c r="J11" i="2"/>
  <c r="K10" i="2"/>
  <c r="CD87" i="1"/>
  <c r="DZ87" i="1"/>
  <c r="O87" i="1"/>
  <c r="AZ87" i="1"/>
  <c r="AC87" i="1"/>
  <c r="R87" i="1"/>
  <c r="AG87" i="1"/>
  <c r="AN87" i="1"/>
  <c r="AN151" i="1" s="1"/>
  <c r="BO87" i="1"/>
  <c r="Y87" i="1"/>
  <c r="S87" i="1"/>
  <c r="N87" i="1"/>
  <c r="BP87" i="1"/>
  <c r="BW87" i="1" s="1"/>
  <c r="A88" i="1"/>
  <c r="CS87" i="1"/>
  <c r="Z87" i="1"/>
  <c r="AP87" i="1"/>
  <c r="V86" i="1"/>
  <c r="AO87" i="1"/>
  <c r="BZ87" i="1"/>
  <c r="V150" i="1"/>
  <c r="E160" i="1"/>
  <c r="E96" i="1"/>
  <c r="C160" i="1"/>
  <c r="C96" i="1"/>
  <c r="D25" i="2"/>
  <c r="D161" i="1"/>
  <c r="D97" i="1"/>
  <c r="C24" i="2"/>
  <c r="E24" i="2"/>
  <c r="DZ151" i="1"/>
  <c r="BP151" i="1"/>
  <c r="BW151" i="1" s="1"/>
  <c r="BO151" i="1"/>
  <c r="Y151" i="1"/>
  <c r="R151" i="1"/>
  <c r="Z151" i="1"/>
  <c r="AP151" i="1"/>
  <c r="S151" i="1"/>
  <c r="AO151" i="1"/>
  <c r="O151" i="1"/>
  <c r="N151" i="1"/>
  <c r="CL81" i="1"/>
  <c r="A152" i="1"/>
  <c r="E268" i="1"/>
  <c r="E20" i="1"/>
  <c r="E215" i="1"/>
  <c r="E259" i="1"/>
  <c r="E206" i="1"/>
  <c r="DD206" i="1" s="1"/>
  <c r="E11" i="1"/>
  <c r="CG69" i="1"/>
  <c r="AN97" i="6"/>
  <c r="DD88" i="1" l="1"/>
  <c r="DC88" i="1"/>
  <c r="J12" i="2"/>
  <c r="K11" i="2"/>
  <c r="V87" i="1"/>
  <c r="CD88" i="1"/>
  <c r="Y88" i="1"/>
  <c r="Z88" i="1"/>
  <c r="CA88" i="1"/>
  <c r="BO88" i="1"/>
  <c r="DZ88" i="1"/>
  <c r="BP88" i="1"/>
  <c r="BW88" i="1" s="1"/>
  <c r="AO88" i="1"/>
  <c r="N88" i="1"/>
  <c r="AG88" i="1"/>
  <c r="O88" i="1"/>
  <c r="CS88" i="1"/>
  <c r="BZ88" i="1"/>
  <c r="R88" i="1"/>
  <c r="AZ88" i="1"/>
  <c r="AP88" i="1"/>
  <c r="A89" i="1"/>
  <c r="AN88" i="1"/>
  <c r="AN152" i="1" s="1"/>
  <c r="S88" i="1"/>
  <c r="AC88" i="1"/>
  <c r="D26" i="2"/>
  <c r="D162" i="1"/>
  <c r="D98" i="1"/>
  <c r="C25" i="2"/>
  <c r="E25" i="2"/>
  <c r="C161" i="1"/>
  <c r="C97" i="1"/>
  <c r="E161" i="1"/>
  <c r="E97" i="1"/>
  <c r="DZ152" i="1"/>
  <c r="BP152" i="1"/>
  <c r="BW152" i="1" s="1"/>
  <c r="BO152" i="1"/>
  <c r="CA152" i="1"/>
  <c r="BZ152" i="1"/>
  <c r="R152" i="1"/>
  <c r="N152" i="1"/>
  <c r="Z152" i="1"/>
  <c r="AP152" i="1"/>
  <c r="S152" i="1"/>
  <c r="AO152" i="1"/>
  <c r="O152" i="1"/>
  <c r="Y152" i="1"/>
  <c r="V151" i="1"/>
  <c r="A153" i="1"/>
  <c r="CO67" i="1"/>
  <c r="S89" i="1" l="1"/>
  <c r="DC89" i="1"/>
  <c r="DD89" i="1"/>
  <c r="Y89" i="1"/>
  <c r="AN89" i="1"/>
  <c r="AN153" i="1" s="1"/>
  <c r="J13" i="2"/>
  <c r="K12" i="2"/>
  <c r="DZ89" i="1"/>
  <c r="V88" i="1"/>
  <c r="CD89" i="1"/>
  <c r="CE89" i="1"/>
  <c r="BZ89" i="1"/>
  <c r="CA89" i="1"/>
  <c r="AG89" i="1"/>
  <c r="BO89" i="1"/>
  <c r="A90" i="1"/>
  <c r="O89" i="1"/>
  <c r="V89" i="1" s="1"/>
  <c r="CS89" i="1"/>
  <c r="R89" i="1"/>
  <c r="BP89" i="1"/>
  <c r="BW89" i="1" s="1"/>
  <c r="AO89" i="1"/>
  <c r="AC89" i="1"/>
  <c r="AZ89" i="1"/>
  <c r="N89" i="1"/>
  <c r="Z89" i="1"/>
  <c r="AP89" i="1"/>
  <c r="V152" i="1"/>
  <c r="E162" i="1"/>
  <c r="E98" i="1"/>
  <c r="C162" i="1"/>
  <c r="C98" i="1"/>
  <c r="D27" i="2"/>
  <c r="EC278" i="1" s="1"/>
  <c r="D163" i="1"/>
  <c r="D99" i="1"/>
  <c r="C26" i="2"/>
  <c r="E26" i="2"/>
  <c r="DZ153" i="1"/>
  <c r="BP153" i="1"/>
  <c r="BW153" i="1" s="1"/>
  <c r="BO153" i="1"/>
  <c r="CA153" i="1"/>
  <c r="BZ153" i="1"/>
  <c r="CE153" i="1"/>
  <c r="CD153" i="1"/>
  <c r="N153" i="1"/>
  <c r="Z153" i="1"/>
  <c r="AP153" i="1"/>
  <c r="S153" i="1"/>
  <c r="AO153" i="1"/>
  <c r="O153" i="1"/>
  <c r="Y153" i="1"/>
  <c r="R153" i="1"/>
  <c r="A154" i="1"/>
  <c r="AF69" i="1"/>
  <c r="AS90" i="1" l="1"/>
  <c r="DC90" i="1"/>
  <c r="DD90" i="1"/>
  <c r="CL90" i="1"/>
  <c r="AN90" i="1"/>
  <c r="AN154" i="1" s="1"/>
  <c r="DZ90" i="1"/>
  <c r="Z90" i="1"/>
  <c r="R90" i="1"/>
  <c r="CD90" i="1"/>
  <c r="CA90" i="1"/>
  <c r="CE90" i="1"/>
  <c r="BZ90" i="1"/>
  <c r="J14" i="2"/>
  <c r="K13" i="2"/>
  <c r="AG90" i="1"/>
  <c r="N90" i="1"/>
  <c r="CS90" i="1"/>
  <c r="A91" i="1"/>
  <c r="BD90" i="1"/>
  <c r="AO90" i="1"/>
  <c r="O90" i="1"/>
  <c r="S90" i="1"/>
  <c r="BO90" i="1"/>
  <c r="BH90" i="1"/>
  <c r="AZ90" i="1"/>
  <c r="AC90" i="1"/>
  <c r="Y90" i="1"/>
  <c r="BP90" i="1"/>
  <c r="BW90" i="1" s="1"/>
  <c r="AP90" i="1"/>
  <c r="DD154" i="1"/>
  <c r="E163" i="1"/>
  <c r="E99" i="1"/>
  <c r="D28" i="2"/>
  <c r="EC279" i="1" s="1"/>
  <c r="D164" i="1"/>
  <c r="D100" i="1"/>
  <c r="C27" i="2"/>
  <c r="E27" i="2"/>
  <c r="C163" i="1"/>
  <c r="C99" i="1"/>
  <c r="V153" i="1"/>
  <c r="DZ154" i="1"/>
  <c r="CL154" i="1"/>
  <c r="CS154" i="1"/>
  <c r="AZ154" i="1"/>
  <c r="CA154" i="1"/>
  <c r="BZ154" i="1"/>
  <c r="CE154" i="1"/>
  <c r="CD154" i="1"/>
  <c r="BP154" i="1"/>
  <c r="BW154" i="1" s="1"/>
  <c r="Z154" i="1"/>
  <c r="BH154" i="1"/>
  <c r="BD154" i="1"/>
  <c r="AS154" i="1"/>
  <c r="N154" i="1"/>
  <c r="AP154" i="1"/>
  <c r="S154" i="1"/>
  <c r="AO154" i="1"/>
  <c r="BO154" i="1"/>
  <c r="AG154" i="1"/>
  <c r="O154" i="1"/>
  <c r="AC154" i="1"/>
  <c r="Y154" i="1"/>
  <c r="R154" i="1"/>
  <c r="A155" i="1"/>
  <c r="AN98" i="6"/>
  <c r="CA91" i="1" l="1"/>
  <c r="DC91" i="1"/>
  <c r="DD91" i="1"/>
  <c r="AC91" i="1"/>
  <c r="R91" i="1"/>
  <c r="BO91" i="1"/>
  <c r="J15" i="2"/>
  <c r="K14" i="2"/>
  <c r="CS91" i="1"/>
  <c r="AS91" i="1"/>
  <c r="AO91" i="1"/>
  <c r="N91" i="1"/>
  <c r="CL91" i="1"/>
  <c r="O91" i="1"/>
  <c r="BP91" i="1"/>
  <c r="BW91" i="1" s="1"/>
  <c r="AD91" i="1"/>
  <c r="AN91" i="1"/>
  <c r="AN155" i="1" s="1"/>
  <c r="Y91" i="1"/>
  <c r="Z91" i="1"/>
  <c r="CD91" i="1"/>
  <c r="A92" i="1"/>
  <c r="CE91" i="1"/>
  <c r="DZ91" i="1"/>
  <c r="AG91" i="1"/>
  <c r="S91" i="1"/>
  <c r="BZ91" i="1"/>
  <c r="AP91" i="1"/>
  <c r="V90" i="1"/>
  <c r="AZ91" i="1"/>
  <c r="DD155" i="1"/>
  <c r="C164" i="1"/>
  <c r="C100" i="1"/>
  <c r="D29" i="2"/>
  <c r="EC280" i="1" s="1"/>
  <c r="D165" i="1"/>
  <c r="D101" i="1"/>
  <c r="C28" i="2"/>
  <c r="E28" i="2"/>
  <c r="E164" i="1"/>
  <c r="E100" i="1"/>
  <c r="V154" i="1"/>
  <c r="DZ155" i="1"/>
  <c r="CL155" i="1"/>
  <c r="BZ155" i="1"/>
  <c r="CE155" i="1"/>
  <c r="CD155" i="1"/>
  <c r="BP155" i="1"/>
  <c r="BW155" i="1" s="1"/>
  <c r="BO155" i="1"/>
  <c r="BH155" i="1"/>
  <c r="CS155" i="1"/>
  <c r="BD155" i="1"/>
  <c r="AS155" i="1"/>
  <c r="AD155" i="1"/>
  <c r="N155" i="1"/>
  <c r="AZ155" i="1"/>
  <c r="AP155" i="1"/>
  <c r="CA155" i="1"/>
  <c r="S155" i="1"/>
  <c r="AO155" i="1"/>
  <c r="AG155" i="1"/>
  <c r="O155" i="1"/>
  <c r="AC155" i="1"/>
  <c r="Y155" i="1"/>
  <c r="R155" i="1"/>
  <c r="Z155" i="1"/>
  <c r="A156" i="1"/>
  <c r="A77" i="6"/>
  <c r="A98" i="6" s="1"/>
  <c r="ED207" i="1"/>
  <c r="ED208" i="1" s="1"/>
  <c r="ED209" i="1" s="1"/>
  <c r="ED210" i="1" s="1"/>
  <c r="ED211" i="1" s="1"/>
  <c r="ED212" i="1" s="1"/>
  <c r="ED213" i="1" s="1"/>
  <c r="ED214" i="1" s="1"/>
  <c r="ED215" i="1" s="1"/>
  <c r="ED216" i="1" s="1"/>
  <c r="ED217" i="1" s="1"/>
  <c r="ED218" i="1" s="1"/>
  <c r="ED219" i="1" s="1"/>
  <c r="ED220" i="1" s="1"/>
  <c r="ED221" i="1" s="1"/>
  <c r="ED222" i="1" s="1"/>
  <c r="ED223" i="1" s="1"/>
  <c r="ED224" i="1" s="1"/>
  <c r="ED225" i="1" s="1"/>
  <c r="ED226" i="1" s="1"/>
  <c r="ED227" i="1" s="1"/>
  <c r="ED228" i="1" s="1"/>
  <c r="ED229" i="1" s="1"/>
  <c r="ED230" i="1" s="1"/>
  <c r="ED231" i="1" s="1"/>
  <c r="ED232" i="1" s="1"/>
  <c r="ED233" i="1" s="1"/>
  <c r="ED234" i="1" s="1"/>
  <c r="ED235" i="1" s="1"/>
  <c r="ED236" i="1" s="1"/>
  <c r="ED237" i="1" s="1"/>
  <c r="ED238" i="1" s="1"/>
  <c r="ED239" i="1" s="1"/>
  <c r="ED240" i="1" s="1"/>
  <c r="ED241" i="1" s="1"/>
  <c r="ED242" i="1" s="1"/>
  <c r="AV67" i="1"/>
  <c r="DW67" i="1" s="1"/>
  <c r="CK296" i="1"/>
  <c r="CK203" i="1"/>
  <c r="CK69" i="1"/>
  <c r="CA92" i="1" l="1"/>
  <c r="DC92" i="1"/>
  <c r="DD92" i="1"/>
  <c r="CS92" i="1"/>
  <c r="J16" i="2"/>
  <c r="K15" i="2"/>
  <c r="V91" i="1"/>
  <c r="CD92" i="1"/>
  <c r="AO92" i="1"/>
  <c r="Y92" i="1"/>
  <c r="R92" i="1"/>
  <c r="S92" i="1"/>
  <c r="AS92" i="1"/>
  <c r="AZ92" i="1"/>
  <c r="AD92" i="1"/>
  <c r="CE92" i="1"/>
  <c r="AG92" i="1"/>
  <c r="BZ92" i="1"/>
  <c r="N92" i="1"/>
  <c r="CT92" i="1"/>
  <c r="DA92" i="1" s="1"/>
  <c r="CL92" i="1"/>
  <c r="BO92" i="1"/>
  <c r="AN92" i="1"/>
  <c r="AN156" i="1" s="1"/>
  <c r="O92" i="1"/>
  <c r="BP92" i="1"/>
  <c r="BW92" i="1" s="1"/>
  <c r="AP92" i="1"/>
  <c r="A93" i="1"/>
  <c r="CS93" i="1" s="1"/>
  <c r="Z92" i="1"/>
  <c r="AC92" i="1"/>
  <c r="DZ92" i="1"/>
  <c r="BA92" i="1"/>
  <c r="V155" i="1"/>
  <c r="DD156" i="1"/>
  <c r="C165" i="1"/>
  <c r="C101" i="1"/>
  <c r="E165" i="1"/>
  <c r="E101" i="1"/>
  <c r="D30" i="2"/>
  <c r="EC281" i="1" s="1"/>
  <c r="D166" i="1"/>
  <c r="D102" i="1"/>
  <c r="C29" i="2"/>
  <c r="E29" i="2"/>
  <c r="DZ156" i="1"/>
  <c r="CL156" i="1"/>
  <c r="O156" i="1"/>
  <c r="CE156" i="1"/>
  <c r="CD156" i="1"/>
  <c r="BP156" i="1"/>
  <c r="BW156" i="1" s="1"/>
  <c r="BO156" i="1"/>
  <c r="BH156" i="1"/>
  <c r="CT156" i="1"/>
  <c r="DA156" i="1" s="1"/>
  <c r="CA156" i="1"/>
  <c r="CS156" i="1"/>
  <c r="BZ156" i="1"/>
  <c r="BA156" i="1"/>
  <c r="AZ156" i="1"/>
  <c r="N156" i="1"/>
  <c r="S156" i="1"/>
  <c r="AP156" i="1"/>
  <c r="AO156" i="1"/>
  <c r="AG156" i="1"/>
  <c r="AC156" i="1"/>
  <c r="Y156" i="1"/>
  <c r="R156" i="1"/>
  <c r="BD156" i="1"/>
  <c r="AS156" i="1"/>
  <c r="Z156" i="1"/>
  <c r="AD156" i="1"/>
  <c r="A157" i="1"/>
  <c r="AN94" i="6"/>
  <c r="N93" i="1" l="1"/>
  <c r="DE93" i="1"/>
  <c r="DE92" i="1" s="1"/>
  <c r="DE91" i="1" s="1"/>
  <c r="DE90" i="1" s="1"/>
  <c r="DE89" i="1" s="1"/>
  <c r="DE88" i="1" s="1"/>
  <c r="DE87" i="1" s="1"/>
  <c r="DE86" i="1" s="1"/>
  <c r="DE85" i="1" s="1"/>
  <c r="DE84" i="1" s="1"/>
  <c r="DE83" i="1" s="1"/>
  <c r="DE82" i="1" s="1"/>
  <c r="DE81" i="1" s="1"/>
  <c r="DC93" i="1"/>
  <c r="DD93" i="1"/>
  <c r="V92" i="1"/>
  <c r="J17" i="2"/>
  <c r="K16" i="2"/>
  <c r="DZ93" i="1"/>
  <c r="CT93" i="1"/>
  <c r="DA93" i="1" s="1"/>
  <c r="CL93" i="1"/>
  <c r="O93" i="1"/>
  <c r="AZ93" i="1"/>
  <c r="AN93" i="1"/>
  <c r="AN157" i="1" s="1"/>
  <c r="Y93" i="1"/>
  <c r="BA93" i="1"/>
  <c r="AG93" i="1"/>
  <c r="BO93" i="1"/>
  <c r="AS93" i="1"/>
  <c r="Z93" i="1"/>
  <c r="BP93" i="1"/>
  <c r="BW93" i="1" s="1"/>
  <c r="AP93" i="1"/>
  <c r="R93" i="1"/>
  <c r="AC93" i="1"/>
  <c r="S93" i="1"/>
  <c r="AD93" i="1"/>
  <c r="AO93" i="1"/>
  <c r="BZ93" i="1"/>
  <c r="CD93" i="1"/>
  <c r="A94" i="1"/>
  <c r="CA93" i="1"/>
  <c r="CE93" i="1"/>
  <c r="DD157" i="1"/>
  <c r="D31" i="2"/>
  <c r="EC282" i="1" s="1"/>
  <c r="D167" i="1"/>
  <c r="D103" i="1"/>
  <c r="C30" i="2"/>
  <c r="E30" i="2"/>
  <c r="E166" i="1"/>
  <c r="E102" i="1"/>
  <c r="C166" i="1"/>
  <c r="C102" i="1"/>
  <c r="V156" i="1"/>
  <c r="DZ157" i="1"/>
  <c r="CL157" i="1"/>
  <c r="S157" i="1"/>
  <c r="BP157" i="1"/>
  <c r="BW157" i="1" s="1"/>
  <c r="BO157" i="1"/>
  <c r="BH157" i="1"/>
  <c r="CT157" i="1"/>
  <c r="DA157" i="1" s="1"/>
  <c r="CA157" i="1"/>
  <c r="CS157" i="1"/>
  <c r="BZ157" i="1"/>
  <c r="CE157" i="1"/>
  <c r="CD157" i="1"/>
  <c r="BA157" i="1"/>
  <c r="AZ157" i="1"/>
  <c r="N157" i="1"/>
  <c r="AO157" i="1"/>
  <c r="AG157" i="1"/>
  <c r="AP157" i="1"/>
  <c r="AC157" i="1"/>
  <c r="O157" i="1"/>
  <c r="Y157" i="1"/>
  <c r="BD157" i="1"/>
  <c r="AS157" i="1"/>
  <c r="Z157" i="1"/>
  <c r="AD157" i="1"/>
  <c r="R157" i="1"/>
  <c r="A158" i="1"/>
  <c r="CC296" i="1"/>
  <c r="BY296" i="1"/>
  <c r="BR296" i="1"/>
  <c r="BN296" i="1"/>
  <c r="BG296" i="1"/>
  <c r="BC296" i="1"/>
  <c r="AY296" i="1"/>
  <c r="EA254" i="1"/>
  <c r="EB254" i="1" s="1"/>
  <c r="EC254" i="1" s="1"/>
  <c r="A254" i="1"/>
  <c r="B254" i="1" s="1"/>
  <c r="C254" i="1" s="1"/>
  <c r="CC203" i="1"/>
  <c r="BY203" i="1"/>
  <c r="BK203" i="1"/>
  <c r="BG203" i="1"/>
  <c r="BC203" i="1"/>
  <c r="AY203" i="1"/>
  <c r="AB203" i="1"/>
  <c r="X203" i="1"/>
  <c r="U203" i="1"/>
  <c r="Q203" i="1"/>
  <c r="M203" i="1"/>
  <c r="EA201" i="1"/>
  <c r="A201" i="1"/>
  <c r="B201" i="1" s="1"/>
  <c r="C201" i="1" s="1"/>
  <c r="DE94" i="1" l="1"/>
  <c r="DD94" i="1"/>
  <c r="DC94" i="1"/>
  <c r="J18" i="2"/>
  <c r="K18" i="2" s="1"/>
  <c r="K17" i="2"/>
  <c r="N94" i="1"/>
  <c r="CD94" i="1"/>
  <c r="V93" i="1"/>
  <c r="AC94" i="1"/>
  <c r="A95" i="1"/>
  <c r="CS94" i="1"/>
  <c r="S94" i="1"/>
  <c r="AZ94" i="1"/>
  <c r="AD94" i="1"/>
  <c r="AP94" i="1"/>
  <c r="AG94" i="1"/>
  <c r="BA94" i="1"/>
  <c r="AS94" i="1"/>
  <c r="CE94" i="1"/>
  <c r="O94" i="1"/>
  <c r="Y94" i="1"/>
  <c r="BO94" i="1"/>
  <c r="R94" i="1"/>
  <c r="CT94" i="1"/>
  <c r="DA94" i="1" s="1"/>
  <c r="Z94" i="1"/>
  <c r="BP94" i="1"/>
  <c r="BW94" i="1" s="1"/>
  <c r="AO94" i="1"/>
  <c r="BZ94" i="1"/>
  <c r="CL94" i="1"/>
  <c r="DZ94" i="1"/>
  <c r="CA94" i="1"/>
  <c r="AN94" i="1"/>
  <c r="AN158" i="1" s="1"/>
  <c r="DE158" i="1"/>
  <c r="DD158" i="1"/>
  <c r="E167" i="1"/>
  <c r="E103" i="1"/>
  <c r="C167" i="1"/>
  <c r="C103" i="1"/>
  <c r="D32" i="2"/>
  <c r="EC283" i="1" s="1"/>
  <c r="D168" i="1"/>
  <c r="D104" i="1"/>
  <c r="E31" i="2"/>
  <c r="C31" i="2"/>
  <c r="DZ158" i="1"/>
  <c r="CL158" i="1"/>
  <c r="BP158" i="1"/>
  <c r="BW158" i="1" s="1"/>
  <c r="BO158" i="1"/>
  <c r="CT158" i="1"/>
  <c r="DA158" i="1" s="1"/>
  <c r="CA158" i="1"/>
  <c r="BH158" i="1"/>
  <c r="CS158" i="1"/>
  <c r="BZ158" i="1"/>
  <c r="CE158" i="1"/>
  <c r="CD158" i="1"/>
  <c r="AO158" i="1"/>
  <c r="N158" i="1"/>
  <c r="S158" i="1"/>
  <c r="AG158" i="1"/>
  <c r="AC158" i="1"/>
  <c r="O158" i="1"/>
  <c r="Y158" i="1"/>
  <c r="BD158" i="1"/>
  <c r="AS158" i="1"/>
  <c r="AP158" i="1"/>
  <c r="R158" i="1"/>
  <c r="Z158" i="1"/>
  <c r="AD158" i="1"/>
  <c r="BA158" i="1"/>
  <c r="AZ158" i="1"/>
  <c r="V157" i="1"/>
  <c r="A159" i="1"/>
  <c r="D254" i="1"/>
  <c r="E254" i="1" s="1"/>
  <c r="F254" i="1" s="1"/>
  <c r="G254" i="1" s="1"/>
  <c r="H254" i="1" s="1"/>
  <c r="I254" i="1" s="1"/>
  <c r="J254" i="1" s="1"/>
  <c r="K254" i="1" s="1"/>
  <c r="L254" i="1" s="1"/>
  <c r="M254" i="1" s="1"/>
  <c r="N254" i="1" s="1"/>
  <c r="O254" i="1" s="1"/>
  <c r="P254" i="1" s="1"/>
  <c r="Q254" i="1" s="1"/>
  <c r="R254" i="1" s="1"/>
  <c r="S254" i="1" s="1"/>
  <c r="T254" i="1" s="1"/>
  <c r="U254" i="1" s="1"/>
  <c r="V254" i="1" s="1"/>
  <c r="W254" i="1" s="1"/>
  <c r="X254" i="1" s="1"/>
  <c r="Y254" i="1" s="1"/>
  <c r="Z254" i="1" s="1"/>
  <c r="AA254" i="1" s="1"/>
  <c r="AB254" i="1" s="1"/>
  <c r="AC254" i="1" s="1"/>
  <c r="AD254" i="1" s="1"/>
  <c r="AE254" i="1" s="1"/>
  <c r="AF254" i="1" s="1"/>
  <c r="AG254" i="1" s="1"/>
  <c r="AH254" i="1" s="1"/>
  <c r="AI254" i="1" s="1"/>
  <c r="AJ254" i="1" s="1"/>
  <c r="AK254" i="1" s="1"/>
  <c r="AL254" i="1" s="1"/>
  <c r="AM254" i="1" s="1"/>
  <c r="AN254" i="1" s="1"/>
  <c r="AO254" i="1" s="1"/>
  <c r="AP254" i="1" s="1"/>
  <c r="AQ254" i="1" s="1"/>
  <c r="AR254" i="1" s="1"/>
  <c r="AS254" i="1" s="1"/>
  <c r="AT254" i="1" s="1"/>
  <c r="AU254" i="1" s="1"/>
  <c r="AV254" i="1" s="1"/>
  <c r="AW254" i="1" s="1"/>
  <c r="AX254" i="1" s="1"/>
  <c r="AY254" i="1" s="1"/>
  <c r="AZ254" i="1" s="1"/>
  <c r="BA254" i="1" s="1"/>
  <c r="BB254" i="1" s="1"/>
  <c r="BC254" i="1" s="1"/>
  <c r="BD254" i="1" s="1"/>
  <c r="BE254" i="1" s="1"/>
  <c r="BF254" i="1" s="1"/>
  <c r="BG254" i="1" s="1"/>
  <c r="BH254" i="1" s="1"/>
  <c r="BI254" i="1" s="1"/>
  <c r="BJ254" i="1" s="1"/>
  <c r="BK254" i="1" s="1"/>
  <c r="BL254" i="1" s="1"/>
  <c r="BM254" i="1" s="1"/>
  <c r="BN254" i="1" s="1"/>
  <c r="BO254" i="1" s="1"/>
  <c r="BP254" i="1" s="1"/>
  <c r="BQ254" i="1" s="1"/>
  <c r="BR254" i="1" s="1"/>
  <c r="D201" i="1"/>
  <c r="E201" i="1" s="1"/>
  <c r="F201" i="1" s="1"/>
  <c r="G201" i="1" s="1"/>
  <c r="H201" i="1" s="1"/>
  <c r="I201" i="1" s="1"/>
  <c r="J201" i="1" s="1"/>
  <c r="K201" i="1" s="1"/>
  <c r="L201" i="1" s="1"/>
  <c r="M201" i="1" s="1"/>
  <c r="N201" i="1" s="1"/>
  <c r="O201" i="1" s="1"/>
  <c r="P201" i="1" s="1"/>
  <c r="Q201" i="1" s="1"/>
  <c r="R201" i="1" s="1"/>
  <c r="S201" i="1" s="1"/>
  <c r="T201" i="1" s="1"/>
  <c r="U201" i="1" s="1"/>
  <c r="V201" i="1" s="1"/>
  <c r="W201" i="1" s="1"/>
  <c r="X201" i="1" s="1"/>
  <c r="Y201" i="1" s="1"/>
  <c r="Z201" i="1" s="1"/>
  <c r="AA201" i="1" s="1"/>
  <c r="AB201" i="1" s="1"/>
  <c r="AC201" i="1" s="1"/>
  <c r="AD201" i="1" s="1"/>
  <c r="AE201" i="1" s="1"/>
  <c r="AF201" i="1" s="1"/>
  <c r="AG201" i="1" s="1"/>
  <c r="AH201" i="1" s="1"/>
  <c r="AI201" i="1" s="1"/>
  <c r="AJ201" i="1" s="1"/>
  <c r="AK201" i="1" s="1"/>
  <c r="AL201" i="1" s="1"/>
  <c r="AM201" i="1" s="1"/>
  <c r="AN201" i="1" s="1"/>
  <c r="AO201" i="1" s="1"/>
  <c r="AP201" i="1" s="1"/>
  <c r="AQ201" i="1" s="1"/>
  <c r="AR201" i="1" s="1"/>
  <c r="AS201" i="1" s="1"/>
  <c r="AT201" i="1" s="1"/>
  <c r="AU201" i="1" s="1"/>
  <c r="AV201" i="1" s="1"/>
  <c r="AW201" i="1" s="1"/>
  <c r="AX201" i="1" s="1"/>
  <c r="AY201" i="1" s="1"/>
  <c r="AZ201" i="1" s="1"/>
  <c r="BA201" i="1" s="1"/>
  <c r="BB201" i="1" s="1"/>
  <c r="BC201" i="1" s="1"/>
  <c r="BD201" i="1" s="1"/>
  <c r="BE201" i="1" s="1"/>
  <c r="BF201" i="1" s="1"/>
  <c r="BG201" i="1" s="1"/>
  <c r="BH201" i="1" s="1"/>
  <c r="BI201" i="1" s="1"/>
  <c r="BJ201" i="1" s="1"/>
  <c r="BK201" i="1" s="1"/>
  <c r="BL201" i="1" s="1"/>
  <c r="BM201" i="1" s="1"/>
  <c r="BN201" i="1" s="1"/>
  <c r="BO201" i="1" s="1"/>
  <c r="BP201" i="1" s="1"/>
  <c r="BQ201" i="1" s="1"/>
  <c r="BR201" i="1" s="1"/>
  <c r="BS201" i="1" s="1"/>
  <c r="BT201" i="1" s="1"/>
  <c r="BU201" i="1" s="1"/>
  <c r="BV201" i="1" s="1"/>
  <c r="EB201" i="1"/>
  <c r="EC201" i="1" s="1"/>
  <c r="DD95" i="1" l="1"/>
  <c r="DE95" i="1"/>
  <c r="DC95" i="1"/>
  <c r="O95" i="1"/>
  <c r="AP95" i="1"/>
  <c r="R95" i="1"/>
  <c r="S95" i="1"/>
  <c r="V95" i="1" s="1"/>
  <c r="AG95" i="1"/>
  <c r="BZ95" i="1"/>
  <c r="CA95" i="1"/>
  <c r="CS95" i="1"/>
  <c r="V94" i="1"/>
  <c r="CT95" i="1"/>
  <c r="DA95" i="1" s="1"/>
  <c r="AN95" i="1"/>
  <c r="AN159" i="1" s="1"/>
  <c r="AZ95" i="1"/>
  <c r="A96" i="1"/>
  <c r="AC95" i="1"/>
  <c r="BO95" i="1"/>
  <c r="AS95" i="1"/>
  <c r="Z95" i="1"/>
  <c r="AO95" i="1"/>
  <c r="AD95" i="1"/>
  <c r="BP95" i="1"/>
  <c r="BW95" i="1" s="1"/>
  <c r="N95" i="1"/>
  <c r="CD95" i="1"/>
  <c r="Y95" i="1"/>
  <c r="BA95" i="1"/>
  <c r="DZ95" i="1"/>
  <c r="CE95" i="1"/>
  <c r="CL95" i="1"/>
  <c r="DE159" i="1"/>
  <c r="DD159" i="1"/>
  <c r="DH259" i="1"/>
  <c r="DD259" i="1"/>
  <c r="DT259" i="1"/>
  <c r="C168" i="1"/>
  <c r="C104" i="1"/>
  <c r="D33" i="2"/>
  <c r="EC284" i="1" s="1"/>
  <c r="D169" i="1"/>
  <c r="D105" i="1"/>
  <c r="E32" i="2"/>
  <c r="C32" i="2"/>
  <c r="E168" i="1"/>
  <c r="E104" i="1"/>
  <c r="V158" i="1"/>
  <c r="DZ159" i="1"/>
  <c r="CL159" i="1"/>
  <c r="CT159" i="1"/>
  <c r="DA159" i="1" s="1"/>
  <c r="CA159" i="1"/>
  <c r="CS159" i="1"/>
  <c r="BZ159" i="1"/>
  <c r="BH159" i="1"/>
  <c r="CE159" i="1"/>
  <c r="CD159" i="1"/>
  <c r="AO159" i="1"/>
  <c r="S159" i="1"/>
  <c r="AG159" i="1"/>
  <c r="AC159" i="1"/>
  <c r="N159" i="1"/>
  <c r="BD159" i="1"/>
  <c r="AS159" i="1"/>
  <c r="O159" i="1"/>
  <c r="Y159" i="1"/>
  <c r="BP159" i="1"/>
  <c r="BW159" i="1" s="1"/>
  <c r="R159" i="1"/>
  <c r="BO159" i="1"/>
  <c r="BA159" i="1"/>
  <c r="Z159" i="1"/>
  <c r="AP159" i="1"/>
  <c r="AZ159" i="1"/>
  <c r="AD159" i="1"/>
  <c r="A160" i="1"/>
  <c r="BO259" i="1"/>
  <c r="AS259" i="1"/>
  <c r="CW259" i="1"/>
  <c r="BZ259" i="1"/>
  <c r="BH259" i="1"/>
  <c r="AK259" i="1"/>
  <c r="CS259" i="1"/>
  <c r="CD259" i="1"/>
  <c r="AO259" i="1"/>
  <c r="R259" i="1"/>
  <c r="CL259" i="1"/>
  <c r="BS259" i="1"/>
  <c r="AZ259" i="1"/>
  <c r="CH259" i="1"/>
  <c r="BD259" i="1"/>
  <c r="AG259" i="1"/>
  <c r="Y259" i="1"/>
  <c r="AC259" i="1"/>
  <c r="N259" i="1"/>
  <c r="A260" i="1"/>
  <c r="DZ259" i="1"/>
  <c r="AZ96" i="1" l="1"/>
  <c r="DD96" i="1"/>
  <c r="DE96" i="1"/>
  <c r="DC96" i="1"/>
  <c r="BW201" i="1"/>
  <c r="BX201" i="1" s="1"/>
  <c r="BY201" i="1" s="1"/>
  <c r="BZ201" i="1" s="1"/>
  <c r="CA201" i="1" s="1"/>
  <c r="CB201" i="1" s="1"/>
  <c r="CC201" i="1" s="1"/>
  <c r="CD201" i="1" s="1"/>
  <c r="CE201" i="1" s="1"/>
  <c r="CF201" i="1" s="1"/>
  <c r="CG201" i="1" s="1"/>
  <c r="CH201" i="1" s="1"/>
  <c r="CI201" i="1" s="1"/>
  <c r="CJ201" i="1" s="1"/>
  <c r="CK201" i="1" s="1"/>
  <c r="CL201" i="1" s="1"/>
  <c r="CM201" i="1" s="1"/>
  <c r="CN201" i="1" s="1"/>
  <c r="CO201" i="1" s="1"/>
  <c r="CP201" i="1" s="1"/>
  <c r="CQ201" i="1" s="1"/>
  <c r="CR201" i="1" s="1"/>
  <c r="CS201" i="1" s="1"/>
  <c r="CT201" i="1" s="1"/>
  <c r="CU201" i="1" s="1"/>
  <c r="CV201" i="1" s="1"/>
  <c r="CW201" i="1" s="1"/>
  <c r="CX201" i="1" s="1"/>
  <c r="CY201" i="1" s="1"/>
  <c r="CZ201" i="1" s="1"/>
  <c r="DA201" i="1" s="1"/>
  <c r="DB201" i="1" s="1"/>
  <c r="DC201" i="1" s="1"/>
  <c r="DD201" i="1" s="1"/>
  <c r="DE201" i="1" s="1"/>
  <c r="DF201" i="1" s="1"/>
  <c r="DG201" i="1" s="1"/>
  <c r="DH201" i="1" s="1"/>
  <c r="BS254" i="1"/>
  <c r="BT254" i="1" s="1"/>
  <c r="BU254" i="1" s="1"/>
  <c r="BV254" i="1" s="1"/>
  <c r="BW254" i="1" s="1"/>
  <c r="BX254" i="1" s="1"/>
  <c r="BY254" i="1" s="1"/>
  <c r="BZ254" i="1" s="1"/>
  <c r="CA254" i="1" s="1"/>
  <c r="CB254" i="1" s="1"/>
  <c r="CC254" i="1" s="1"/>
  <c r="CD254" i="1" s="1"/>
  <c r="CE254" i="1" s="1"/>
  <c r="CF254" i="1" s="1"/>
  <c r="CG254" i="1" s="1"/>
  <c r="CH254" i="1" s="1"/>
  <c r="CI254" i="1" s="1"/>
  <c r="CJ254" i="1" s="1"/>
  <c r="CK254" i="1" s="1"/>
  <c r="CL254" i="1" s="1"/>
  <c r="CM254" i="1" s="1"/>
  <c r="CN254" i="1" s="1"/>
  <c r="CO254" i="1" s="1"/>
  <c r="CP254" i="1" s="1"/>
  <c r="CQ254" i="1" s="1"/>
  <c r="CR254" i="1" s="1"/>
  <c r="CS254" i="1" s="1"/>
  <c r="CT254" i="1" s="1"/>
  <c r="CU254" i="1" s="1"/>
  <c r="CV254" i="1" s="1"/>
  <c r="CW254" i="1" s="1"/>
  <c r="CX254" i="1" s="1"/>
  <c r="CY254" i="1" s="1"/>
  <c r="CZ254" i="1" s="1"/>
  <c r="DA254" i="1" s="1"/>
  <c r="DB254" i="1" s="1"/>
  <c r="DC254" i="1" s="1"/>
  <c r="DD254" i="1" s="1"/>
  <c r="DE254" i="1" s="1"/>
  <c r="DF254" i="1" s="1"/>
  <c r="DG254" i="1" s="1"/>
  <c r="DH254" i="1" s="1"/>
  <c r="CL96" i="1"/>
  <c r="AP96" i="1"/>
  <c r="Y96" i="1"/>
  <c r="Z96" i="1"/>
  <c r="BA96" i="1"/>
  <c r="BO96" i="1"/>
  <c r="BP96" i="1"/>
  <c r="BW96" i="1" s="1"/>
  <c r="AO96" i="1"/>
  <c r="CD96" i="1"/>
  <c r="N96" i="1"/>
  <c r="CA96" i="1"/>
  <c r="A97" i="1"/>
  <c r="CS96" i="1"/>
  <c r="CT96" i="1"/>
  <c r="DA96" i="1" s="1"/>
  <c r="DZ96" i="1"/>
  <c r="S96" i="1"/>
  <c r="O96" i="1"/>
  <c r="AG96" i="1"/>
  <c r="AN96" i="1"/>
  <c r="AN160" i="1" s="1"/>
  <c r="AC96" i="1"/>
  <c r="CE96" i="1"/>
  <c r="AS96" i="1"/>
  <c r="AD96" i="1"/>
  <c r="AH96" i="1"/>
  <c r="AT96" i="1"/>
  <c r="R96" i="1"/>
  <c r="BZ96" i="1"/>
  <c r="DE160" i="1"/>
  <c r="DD160" i="1"/>
  <c r="V159" i="1"/>
  <c r="E169" i="1"/>
  <c r="E105" i="1"/>
  <c r="C169" i="1"/>
  <c r="C105" i="1"/>
  <c r="D34" i="2"/>
  <c r="EC285" i="1" s="1"/>
  <c r="D170" i="1"/>
  <c r="D106" i="1"/>
  <c r="E33" i="2"/>
  <c r="C33" i="2"/>
  <c r="DZ160" i="1"/>
  <c r="CL160" i="1"/>
  <c r="CT160" i="1"/>
  <c r="DA160" i="1" s="1"/>
  <c r="CA160" i="1"/>
  <c r="CS160" i="1"/>
  <c r="BZ160" i="1"/>
  <c r="BH160" i="1"/>
  <c r="CE160" i="1"/>
  <c r="CD160" i="1"/>
  <c r="BP160" i="1"/>
  <c r="BW160" i="1" s="1"/>
  <c r="BO160" i="1"/>
  <c r="AO160" i="1"/>
  <c r="AT160" i="1"/>
  <c r="S160" i="1"/>
  <c r="AG160" i="1"/>
  <c r="BD160" i="1"/>
  <c r="AS160" i="1"/>
  <c r="AC160" i="1"/>
  <c r="O160" i="1"/>
  <c r="Y160" i="1"/>
  <c r="R160" i="1"/>
  <c r="N160" i="1"/>
  <c r="BA160" i="1"/>
  <c r="AZ160" i="1"/>
  <c r="Z160" i="1"/>
  <c r="AD160" i="1"/>
  <c r="AH160" i="1"/>
  <c r="AP160" i="1"/>
  <c r="A161" i="1"/>
  <c r="AO260" i="1"/>
  <c r="A261" i="1"/>
  <c r="DZ260" i="1"/>
  <c r="DI254" i="1" l="1"/>
  <c r="DJ254" i="1" s="1"/>
  <c r="DK254" i="1" s="1"/>
  <c r="DL254" i="1" s="1"/>
  <c r="DM254" i="1" s="1"/>
  <c r="DN254" i="1" s="1"/>
  <c r="DO254" i="1" s="1"/>
  <c r="DP254" i="1" s="1"/>
  <c r="DQ254" i="1" s="1"/>
  <c r="DR254" i="1" s="1"/>
  <c r="DS254" i="1" s="1"/>
  <c r="DT254" i="1" s="1"/>
  <c r="DU254" i="1" s="1"/>
  <c r="DV254" i="1" s="1"/>
  <c r="DW254" i="1" s="1"/>
  <c r="DX254" i="1" s="1"/>
  <c r="DI201" i="1"/>
  <c r="DJ201" i="1" s="1"/>
  <c r="DK201" i="1" s="1"/>
  <c r="DL201" i="1" s="1"/>
  <c r="DM201" i="1" s="1"/>
  <c r="DN201" i="1" s="1"/>
  <c r="DO201" i="1" s="1"/>
  <c r="DP201" i="1" s="1"/>
  <c r="DQ201" i="1" s="1"/>
  <c r="DR201" i="1" s="1"/>
  <c r="DS201" i="1" s="1"/>
  <c r="DT201" i="1" s="1"/>
  <c r="DU201" i="1" s="1"/>
  <c r="DV201" i="1" s="1"/>
  <c r="DW201" i="1" s="1"/>
  <c r="DX201" i="1" s="1"/>
  <c r="DD97" i="1"/>
  <c r="DE97" i="1"/>
  <c r="DC97" i="1"/>
  <c r="V96" i="1"/>
  <c r="AO97" i="1"/>
  <c r="R97" i="1"/>
  <c r="S97" i="1"/>
  <c r="AW96" i="1"/>
  <c r="CD97" i="1"/>
  <c r="AG97" i="1"/>
  <c r="N97" i="1"/>
  <c r="Y97" i="1"/>
  <c r="CE97" i="1"/>
  <c r="AP97" i="1"/>
  <c r="CA97" i="1"/>
  <c r="Z97" i="1"/>
  <c r="CT97" i="1"/>
  <c r="DA97" i="1" s="1"/>
  <c r="BZ97" i="1"/>
  <c r="CL97" i="1"/>
  <c r="BP97" i="1"/>
  <c r="BW97" i="1" s="1"/>
  <c r="AZ97" i="1"/>
  <c r="A98" i="1"/>
  <c r="AH97" i="1"/>
  <c r="CS97" i="1"/>
  <c r="DZ97" i="1"/>
  <c r="BO97" i="1"/>
  <c r="O97" i="1"/>
  <c r="AN97" i="1"/>
  <c r="AN161" i="1" s="1"/>
  <c r="AC97" i="1"/>
  <c r="AS97" i="1"/>
  <c r="BA97" i="1"/>
  <c r="AD97" i="1"/>
  <c r="AT97" i="1"/>
  <c r="DE161" i="1"/>
  <c r="DD161" i="1"/>
  <c r="D35" i="2"/>
  <c r="EC286" i="1" s="1"/>
  <c r="D171" i="1"/>
  <c r="D107" i="1"/>
  <c r="E34" i="2"/>
  <c r="C34" i="2"/>
  <c r="C170" i="1"/>
  <c r="C106" i="1"/>
  <c r="E170" i="1"/>
  <c r="E106" i="1"/>
  <c r="V160" i="1"/>
  <c r="DZ161" i="1"/>
  <c r="CL161" i="1"/>
  <c r="BH161" i="1"/>
  <c r="CE161" i="1"/>
  <c r="CD161" i="1"/>
  <c r="BP161" i="1"/>
  <c r="BW161" i="1" s="1"/>
  <c r="BO161" i="1"/>
  <c r="BD161" i="1"/>
  <c r="CT161" i="1"/>
  <c r="DA161" i="1" s="1"/>
  <c r="CA161" i="1"/>
  <c r="CS161" i="1"/>
  <c r="AT161" i="1"/>
  <c r="AS161" i="1"/>
  <c r="AO161" i="1"/>
  <c r="S161" i="1"/>
  <c r="AG161" i="1"/>
  <c r="BZ161" i="1"/>
  <c r="AC161" i="1"/>
  <c r="BA161" i="1"/>
  <c r="O161" i="1"/>
  <c r="Y161" i="1"/>
  <c r="AZ161" i="1"/>
  <c r="R161" i="1"/>
  <c r="Z161" i="1"/>
  <c r="N161" i="1"/>
  <c r="AD161" i="1"/>
  <c r="AH161" i="1"/>
  <c r="AP161" i="1"/>
  <c r="A162" i="1"/>
  <c r="AW160" i="1"/>
  <c r="AO261" i="1"/>
  <c r="A262" i="1"/>
  <c r="DZ261" i="1"/>
  <c r="V97" i="1" l="1"/>
  <c r="AS98" i="1"/>
  <c r="DD98" i="1"/>
  <c r="DE98" i="1"/>
  <c r="DC98" i="1"/>
  <c r="DZ98" i="1"/>
  <c r="O98" i="1"/>
  <c r="CA98" i="1"/>
  <c r="CS98" i="1"/>
  <c r="BA98" i="1"/>
  <c r="CT98" i="1"/>
  <c r="DA98" i="1" s="1"/>
  <c r="AW97" i="1"/>
  <c r="CE98" i="1"/>
  <c r="N98" i="1"/>
  <c r="AH98" i="1"/>
  <c r="AP98" i="1"/>
  <c r="Y98" i="1"/>
  <c r="BO98" i="1"/>
  <c r="Z98" i="1"/>
  <c r="BP98" i="1"/>
  <c r="BW98" i="1" s="1"/>
  <c r="AT98" i="1"/>
  <c r="AZ98" i="1"/>
  <c r="AC98" i="1"/>
  <c r="R98" i="1"/>
  <c r="AD98" i="1"/>
  <c r="A99" i="1"/>
  <c r="O99" i="1" s="1"/>
  <c r="S98" i="1"/>
  <c r="CD98" i="1"/>
  <c r="CL98" i="1"/>
  <c r="AO98" i="1"/>
  <c r="BZ98" i="1"/>
  <c r="AG98" i="1"/>
  <c r="AN98" i="1"/>
  <c r="AN162" i="1" s="1"/>
  <c r="DE162" i="1"/>
  <c r="DD162" i="1"/>
  <c r="C171" i="1"/>
  <c r="C107" i="1"/>
  <c r="E171" i="1"/>
  <c r="E107" i="1"/>
  <c r="D36" i="2"/>
  <c r="EC287" i="1" s="1"/>
  <c r="D172" i="1"/>
  <c r="D108" i="1"/>
  <c r="E35" i="2"/>
  <c r="C35" i="2"/>
  <c r="V161" i="1"/>
  <c r="DZ162" i="1"/>
  <c r="CL162" i="1"/>
  <c r="CD162" i="1"/>
  <c r="AT162" i="1"/>
  <c r="BP162" i="1"/>
  <c r="BW162" i="1" s="1"/>
  <c r="BO162" i="1"/>
  <c r="AZ162" i="1"/>
  <c r="CT162" i="1"/>
  <c r="DA162" i="1" s="1"/>
  <c r="CA162" i="1"/>
  <c r="CS162" i="1"/>
  <c r="BZ162" i="1"/>
  <c r="CE162" i="1"/>
  <c r="AS162" i="1"/>
  <c r="AO162" i="1"/>
  <c r="BD162" i="1"/>
  <c r="S162" i="1"/>
  <c r="AG162" i="1"/>
  <c r="BA162" i="1"/>
  <c r="AC162" i="1"/>
  <c r="O162" i="1"/>
  <c r="Y162" i="1"/>
  <c r="R162" i="1"/>
  <c r="Z162" i="1"/>
  <c r="AD162" i="1"/>
  <c r="N162" i="1"/>
  <c r="AH162" i="1"/>
  <c r="AP162" i="1"/>
  <c r="BH162" i="1"/>
  <c r="AW161" i="1"/>
  <c r="A163" i="1"/>
  <c r="AO262" i="1"/>
  <c r="A263" i="1"/>
  <c r="DZ262" i="1"/>
  <c r="V98" i="1" l="1"/>
  <c r="AN99" i="1"/>
  <c r="AN163" i="1" s="1"/>
  <c r="DD99" i="1"/>
  <c r="DC99" i="1"/>
  <c r="DE99" i="1"/>
  <c r="Z99" i="1"/>
  <c r="BZ99" i="1"/>
  <c r="CA99" i="1"/>
  <c r="CS99" i="1"/>
  <c r="BA99" i="1"/>
  <c r="AC99" i="1"/>
  <c r="AD99" i="1"/>
  <c r="A100" i="1"/>
  <c r="CD99" i="1"/>
  <c r="DZ99" i="1"/>
  <c r="CL99" i="1"/>
  <c r="AS99" i="1"/>
  <c r="R99" i="1"/>
  <c r="CE99" i="1"/>
  <c r="AW98" i="1"/>
  <c r="S99" i="1"/>
  <c r="V99" i="1" s="1"/>
  <c r="CT99" i="1"/>
  <c r="DA99" i="1" s="1"/>
  <c r="AP99" i="1"/>
  <c r="Y99" i="1"/>
  <c r="AZ99" i="1"/>
  <c r="BO99" i="1"/>
  <c r="N99" i="1"/>
  <c r="AG99" i="1"/>
  <c r="AT99" i="1"/>
  <c r="AO99" i="1"/>
  <c r="AH99" i="1"/>
  <c r="BP99" i="1"/>
  <c r="BW99" i="1" s="1"/>
  <c r="DD163" i="1"/>
  <c r="DE163" i="1"/>
  <c r="C172" i="1"/>
  <c r="C108" i="1"/>
  <c r="D37" i="2"/>
  <c r="EC288" i="1" s="1"/>
  <c r="D173" i="1"/>
  <c r="D109" i="1"/>
  <c r="C36" i="2"/>
  <c r="E36" i="2"/>
  <c r="E172" i="1"/>
  <c r="E108" i="1"/>
  <c r="DZ163" i="1"/>
  <c r="CL163" i="1"/>
  <c r="BP163" i="1"/>
  <c r="BW163" i="1" s="1"/>
  <c r="BO163" i="1"/>
  <c r="CT163" i="1"/>
  <c r="DA163" i="1" s="1"/>
  <c r="CA163" i="1"/>
  <c r="CS163" i="1"/>
  <c r="BZ163" i="1"/>
  <c r="CE163" i="1"/>
  <c r="BH163" i="1"/>
  <c r="CD163" i="1"/>
  <c r="BD163" i="1"/>
  <c r="BA163" i="1"/>
  <c r="AO163" i="1"/>
  <c r="AZ163" i="1"/>
  <c r="S163" i="1"/>
  <c r="AG163" i="1"/>
  <c r="AC163" i="1"/>
  <c r="O163" i="1"/>
  <c r="Y163" i="1"/>
  <c r="R163" i="1"/>
  <c r="Z163" i="1"/>
  <c r="AD163" i="1"/>
  <c r="AH163" i="1"/>
  <c r="AT163" i="1"/>
  <c r="AS163" i="1"/>
  <c r="AP163" i="1"/>
  <c r="N163" i="1"/>
  <c r="V162" i="1"/>
  <c r="AW162" i="1"/>
  <c r="A164" i="1"/>
  <c r="AO263" i="1"/>
  <c r="A264" i="1"/>
  <c r="DZ263" i="1"/>
  <c r="AS100" i="1" l="1"/>
  <c r="DC100" i="1"/>
  <c r="DE100" i="1"/>
  <c r="DD100" i="1"/>
  <c r="N100" i="1"/>
  <c r="AD100" i="1"/>
  <c r="Y100" i="1"/>
  <c r="CL100" i="1"/>
  <c r="Z100" i="1"/>
  <c r="AG100" i="1"/>
  <c r="CA100" i="1"/>
  <c r="A101" i="1"/>
  <c r="CS100" i="1"/>
  <c r="AO100" i="1"/>
  <c r="AT100" i="1"/>
  <c r="CT100" i="1"/>
  <c r="DA100" i="1" s="1"/>
  <c r="AZ100" i="1"/>
  <c r="S100" i="1"/>
  <c r="BA100" i="1"/>
  <c r="AC100" i="1"/>
  <c r="BO100" i="1"/>
  <c r="CD100" i="1"/>
  <c r="BP100" i="1"/>
  <c r="BW100" i="1" s="1"/>
  <c r="DZ100" i="1"/>
  <c r="CE100" i="1"/>
  <c r="AP100" i="1"/>
  <c r="O100" i="1"/>
  <c r="AH100" i="1"/>
  <c r="AN100" i="1"/>
  <c r="AN164" i="1" s="1"/>
  <c r="R100" i="1"/>
  <c r="BZ100" i="1"/>
  <c r="AW99" i="1"/>
  <c r="DD164" i="1"/>
  <c r="DE164" i="1"/>
  <c r="D38" i="2"/>
  <c r="EC289" i="1" s="1"/>
  <c r="D174" i="1"/>
  <c r="D110" i="1"/>
  <c r="C37" i="2"/>
  <c r="E37" i="2"/>
  <c r="E173" i="1"/>
  <c r="E109" i="1"/>
  <c r="C173" i="1"/>
  <c r="C109" i="1"/>
  <c r="DZ164" i="1"/>
  <c r="CL164" i="1"/>
  <c r="BO164" i="1"/>
  <c r="CT164" i="1"/>
  <c r="DA164" i="1" s="1"/>
  <c r="CA164" i="1"/>
  <c r="CS164" i="1"/>
  <c r="BZ164" i="1"/>
  <c r="CE164" i="1"/>
  <c r="CD164" i="1"/>
  <c r="BH164" i="1"/>
  <c r="AP164" i="1"/>
  <c r="AO164" i="1"/>
  <c r="S164" i="1"/>
  <c r="AG164" i="1"/>
  <c r="AC164" i="1"/>
  <c r="O164" i="1"/>
  <c r="Y164" i="1"/>
  <c r="R164" i="1"/>
  <c r="Z164" i="1"/>
  <c r="AD164" i="1"/>
  <c r="BP164" i="1"/>
  <c r="BW164" i="1" s="1"/>
  <c r="AH164" i="1"/>
  <c r="AT164" i="1"/>
  <c r="AS164" i="1"/>
  <c r="N164" i="1"/>
  <c r="BA164" i="1"/>
  <c r="BD164" i="1"/>
  <c r="AZ164" i="1"/>
  <c r="V163" i="1"/>
  <c r="CA101" i="1"/>
  <c r="AW163" i="1"/>
  <c r="A165" i="1"/>
  <c r="AO264" i="1"/>
  <c r="R264" i="1"/>
  <c r="N264" i="1"/>
  <c r="A265" i="1"/>
  <c r="DZ264" i="1"/>
  <c r="V100" i="1" l="1"/>
  <c r="AP101" i="1"/>
  <c r="DC101" i="1"/>
  <c r="DE101" i="1"/>
  <c r="DD101" i="1"/>
  <c r="CS101" i="1"/>
  <c r="CT101" i="1"/>
  <c r="DA101" i="1" s="1"/>
  <c r="AZ101" i="1"/>
  <c r="N101" i="1"/>
  <c r="BZ101" i="1"/>
  <c r="AC101" i="1"/>
  <c r="Y101" i="1"/>
  <c r="BA101" i="1"/>
  <c r="AD101" i="1"/>
  <c r="AN101" i="1"/>
  <c r="AN165" i="1" s="1"/>
  <c r="S101" i="1"/>
  <c r="AS101" i="1"/>
  <c r="AO101" i="1"/>
  <c r="Z101" i="1"/>
  <c r="A102" i="1"/>
  <c r="AC102" i="1" s="1"/>
  <c r="BP101" i="1"/>
  <c r="BW101" i="1" s="1"/>
  <c r="DZ101" i="1"/>
  <c r="R101" i="1"/>
  <c r="AH101" i="1"/>
  <c r="CL101" i="1"/>
  <c r="CD101" i="1"/>
  <c r="BO101" i="1"/>
  <c r="AT101" i="1"/>
  <c r="AG101" i="1"/>
  <c r="O101" i="1"/>
  <c r="CE101" i="1"/>
  <c r="AW100" i="1"/>
  <c r="DE165" i="1"/>
  <c r="DD165" i="1"/>
  <c r="E174" i="1"/>
  <c r="E110" i="1"/>
  <c r="C174" i="1"/>
  <c r="C110" i="1"/>
  <c r="D39" i="2"/>
  <c r="EC290" i="1" s="1"/>
  <c r="D175" i="1"/>
  <c r="D111" i="1"/>
  <c r="C38" i="2"/>
  <c r="E38" i="2"/>
  <c r="V164" i="1"/>
  <c r="DZ165" i="1"/>
  <c r="CL165" i="1"/>
  <c r="AZ165" i="1"/>
  <c r="CT165" i="1"/>
  <c r="DA165" i="1" s="1"/>
  <c r="CA165" i="1"/>
  <c r="CS165" i="1"/>
  <c r="BZ165" i="1"/>
  <c r="CE165" i="1"/>
  <c r="CD165" i="1"/>
  <c r="BH165" i="1"/>
  <c r="BP165" i="1"/>
  <c r="BW165" i="1" s="1"/>
  <c r="BO165" i="1"/>
  <c r="S165" i="1"/>
  <c r="AG165" i="1"/>
  <c r="AP165" i="1"/>
  <c r="AC165" i="1"/>
  <c r="O165" i="1"/>
  <c r="Y165" i="1"/>
  <c r="R165" i="1"/>
  <c r="Z165" i="1"/>
  <c r="AD165" i="1"/>
  <c r="AT165" i="1"/>
  <c r="AH165" i="1"/>
  <c r="AS165" i="1"/>
  <c r="BA165" i="1"/>
  <c r="BD165" i="1"/>
  <c r="N165" i="1"/>
  <c r="AO165" i="1"/>
  <c r="Y102" i="1"/>
  <c r="A166" i="1"/>
  <c r="AW164" i="1"/>
  <c r="Y265" i="1"/>
  <c r="R265" i="1"/>
  <c r="AO265" i="1"/>
  <c r="N265" i="1"/>
  <c r="A266" i="1"/>
  <c r="DZ265" i="1"/>
  <c r="BO102" i="1" l="1"/>
  <c r="AH102" i="1"/>
  <c r="BZ102" i="1"/>
  <c r="CA102" i="1"/>
  <c r="CS102" i="1"/>
  <c r="Z102" i="1"/>
  <c r="V101" i="1"/>
  <c r="N102" i="1"/>
  <c r="A103" i="1"/>
  <c r="CE103" i="1" s="1"/>
  <c r="AP102" i="1"/>
  <c r="DZ102" i="1"/>
  <c r="DC102" i="1"/>
  <c r="DE102" i="1"/>
  <c r="DD102" i="1"/>
  <c r="CT102" i="1"/>
  <c r="DA102" i="1" s="1"/>
  <c r="O102" i="1"/>
  <c r="BP102" i="1"/>
  <c r="BW102" i="1" s="1"/>
  <c r="AT102" i="1"/>
  <c r="AZ102" i="1"/>
  <c r="AD102" i="1"/>
  <c r="CL102" i="1"/>
  <c r="BA102" i="1"/>
  <c r="CD102" i="1"/>
  <c r="AS102" i="1"/>
  <c r="R102" i="1"/>
  <c r="AG102" i="1"/>
  <c r="AN102" i="1"/>
  <c r="AN166" i="1" s="1"/>
  <c r="AO102" i="1"/>
  <c r="S102" i="1"/>
  <c r="CE102" i="1"/>
  <c r="AW101" i="1"/>
  <c r="DE166" i="1"/>
  <c r="DD166" i="1"/>
  <c r="V165" i="1"/>
  <c r="E175" i="1"/>
  <c r="E111" i="1"/>
  <c r="C175" i="1"/>
  <c r="C111" i="1"/>
  <c r="D40" i="2"/>
  <c r="EC291" i="1" s="1"/>
  <c r="D176" i="1"/>
  <c r="D112" i="1"/>
  <c r="C39" i="2"/>
  <c r="E39" i="2"/>
  <c r="DZ166" i="1"/>
  <c r="CL166" i="1"/>
  <c r="CE166" i="1"/>
  <c r="CD166" i="1"/>
  <c r="BH166" i="1"/>
  <c r="BP166" i="1"/>
  <c r="BW166" i="1" s="1"/>
  <c r="BO166" i="1"/>
  <c r="CT166" i="1"/>
  <c r="DA166" i="1" s="1"/>
  <c r="CA166" i="1"/>
  <c r="CS166" i="1"/>
  <c r="BZ166" i="1"/>
  <c r="AC166" i="1"/>
  <c r="O166" i="1"/>
  <c r="Y166" i="1"/>
  <c r="AP166" i="1"/>
  <c r="R166" i="1"/>
  <c r="AT166" i="1"/>
  <c r="Z166" i="1"/>
  <c r="AS166" i="1"/>
  <c r="AD166" i="1"/>
  <c r="AH166" i="1"/>
  <c r="BA166" i="1"/>
  <c r="AZ166" i="1"/>
  <c r="BD166" i="1"/>
  <c r="AO166" i="1"/>
  <c r="S166" i="1"/>
  <c r="AG166" i="1"/>
  <c r="N166" i="1"/>
  <c r="AS103" i="1"/>
  <c r="AH103" i="1"/>
  <c r="A167" i="1"/>
  <c r="AW165" i="1"/>
  <c r="R266" i="1"/>
  <c r="N266" i="1"/>
  <c r="AO266" i="1"/>
  <c r="Y266" i="1"/>
  <c r="S266" i="1"/>
  <c r="O266" i="1"/>
  <c r="AP266" i="1"/>
  <c r="A267" i="1"/>
  <c r="DZ266" i="1"/>
  <c r="AW102" i="1" l="1"/>
  <c r="DZ103" i="1"/>
  <c r="V102" i="1"/>
  <c r="CS103" i="1"/>
  <c r="CT103" i="1"/>
  <c r="DA103" i="1" s="1"/>
  <c r="O103" i="1"/>
  <c r="AZ103" i="1"/>
  <c r="AT103" i="1"/>
  <c r="DD103" i="1"/>
  <c r="BA103" i="1"/>
  <c r="BO103" i="1"/>
  <c r="AP103" i="1"/>
  <c r="DC103" i="1"/>
  <c r="R103" i="1"/>
  <c r="BP103" i="1"/>
  <c r="BW103" i="1" s="1"/>
  <c r="CL103" i="1"/>
  <c r="DE103" i="1"/>
  <c r="N103" i="1"/>
  <c r="S103" i="1"/>
  <c r="AC103" i="1"/>
  <c r="AN103" i="1"/>
  <c r="AN167" i="1" s="1"/>
  <c r="AO103" i="1"/>
  <c r="Y103" i="1"/>
  <c r="AD103" i="1"/>
  <c r="A104" i="1"/>
  <c r="AN104" i="1" s="1"/>
  <c r="AN168" i="1" s="1"/>
  <c r="Z103" i="1"/>
  <c r="CD103" i="1"/>
  <c r="BZ103" i="1"/>
  <c r="AG103" i="1"/>
  <c r="CA103" i="1"/>
  <c r="DE167" i="1"/>
  <c r="DD167" i="1"/>
  <c r="C176" i="1"/>
  <c r="C112" i="1"/>
  <c r="D41" i="2"/>
  <c r="EC292" i="1" s="1"/>
  <c r="D177" i="1"/>
  <c r="D113" i="1"/>
  <c r="C40" i="2"/>
  <c r="E40" i="2"/>
  <c r="E176" i="1"/>
  <c r="E112" i="1"/>
  <c r="V166" i="1"/>
  <c r="DZ167" i="1"/>
  <c r="CL167" i="1"/>
  <c r="CE167" i="1"/>
  <c r="Z167" i="1"/>
  <c r="CD167" i="1"/>
  <c r="BH167" i="1"/>
  <c r="BP167" i="1"/>
  <c r="BW167" i="1" s="1"/>
  <c r="BO167" i="1"/>
  <c r="BA167" i="1"/>
  <c r="CT167" i="1"/>
  <c r="DA167" i="1" s="1"/>
  <c r="CA167" i="1"/>
  <c r="CS167" i="1"/>
  <c r="BZ167" i="1"/>
  <c r="O167" i="1"/>
  <c r="Y167" i="1"/>
  <c r="R167" i="1"/>
  <c r="AT167" i="1"/>
  <c r="AS167" i="1"/>
  <c r="AP167" i="1"/>
  <c r="AD167" i="1"/>
  <c r="AH167" i="1"/>
  <c r="AZ167" i="1"/>
  <c r="BD167" i="1"/>
  <c r="AO167" i="1"/>
  <c r="S167" i="1"/>
  <c r="AG167" i="1"/>
  <c r="AC167" i="1"/>
  <c r="N167" i="1"/>
  <c r="AW166" i="1"/>
  <c r="A168" i="1"/>
  <c r="AO267" i="1"/>
  <c r="N267" i="1"/>
  <c r="R267" i="1"/>
  <c r="Y267" i="1"/>
  <c r="S267" i="1"/>
  <c r="AP267" i="1"/>
  <c r="O267" i="1"/>
  <c r="Z267" i="1"/>
  <c r="V266" i="1"/>
  <c r="A268" i="1"/>
  <c r="DZ267" i="1"/>
  <c r="CT104" i="1" l="1"/>
  <c r="DA104" i="1" s="1"/>
  <c r="CS104" i="1"/>
  <c r="CA104" i="1"/>
  <c r="AZ104" i="1"/>
  <c r="AO104" i="1"/>
  <c r="CL104" i="1"/>
  <c r="AP104" i="1"/>
  <c r="AT104" i="1"/>
  <c r="CE104" i="1"/>
  <c r="DZ104" i="1"/>
  <c r="O104" i="1"/>
  <c r="BA104" i="1"/>
  <c r="AS104" i="1"/>
  <c r="Y104" i="1"/>
  <c r="BO104" i="1"/>
  <c r="DC104" i="1"/>
  <c r="Z104" i="1"/>
  <c r="AC104" i="1"/>
  <c r="DD104" i="1"/>
  <c r="AW103" i="1"/>
  <c r="R104" i="1"/>
  <c r="AD104" i="1"/>
  <c r="DE104" i="1"/>
  <c r="N104" i="1"/>
  <c r="S104" i="1"/>
  <c r="CD104" i="1"/>
  <c r="A105" i="1"/>
  <c r="BA105" i="1" s="1"/>
  <c r="BZ104" i="1"/>
  <c r="AG104" i="1"/>
  <c r="V103" i="1"/>
  <c r="DP268" i="1"/>
  <c r="DL268" i="1"/>
  <c r="AH104" i="1"/>
  <c r="BP104" i="1"/>
  <c r="BW104" i="1" s="1"/>
  <c r="DD105" i="1"/>
  <c r="DE105" i="1"/>
  <c r="DC105" i="1"/>
  <c r="DE168" i="1"/>
  <c r="DD168" i="1"/>
  <c r="DT268" i="1"/>
  <c r="DH268" i="1"/>
  <c r="DD268" i="1"/>
  <c r="C177" i="1"/>
  <c r="C113" i="1"/>
  <c r="D42" i="2"/>
  <c r="EC293" i="1" s="1"/>
  <c r="D178" i="1"/>
  <c r="D114" i="1"/>
  <c r="C41" i="2"/>
  <c r="E41" i="2"/>
  <c r="E177" i="1"/>
  <c r="E113" i="1"/>
  <c r="V167" i="1"/>
  <c r="DZ168" i="1"/>
  <c r="CL168" i="1"/>
  <c r="BH168" i="1"/>
  <c r="BP168" i="1"/>
  <c r="BW168" i="1" s="1"/>
  <c r="BO168" i="1"/>
  <c r="CT168" i="1"/>
  <c r="DA168" i="1" s="1"/>
  <c r="CA168" i="1"/>
  <c r="CS168" i="1"/>
  <c r="BZ168" i="1"/>
  <c r="CE168" i="1"/>
  <c r="CD168" i="1"/>
  <c r="AS168" i="1"/>
  <c r="R168" i="1"/>
  <c r="N168" i="1"/>
  <c r="Z168" i="1"/>
  <c r="AD168" i="1"/>
  <c r="BA168" i="1"/>
  <c r="AH168" i="1"/>
  <c r="AP168" i="1"/>
  <c r="AZ168" i="1"/>
  <c r="BD168" i="1"/>
  <c r="AO168" i="1"/>
  <c r="S168" i="1"/>
  <c r="AG168" i="1"/>
  <c r="AC168" i="1"/>
  <c r="AT168" i="1"/>
  <c r="O168" i="1"/>
  <c r="Y168" i="1"/>
  <c r="AW167" i="1"/>
  <c r="A169" i="1"/>
  <c r="CS268" i="1"/>
  <c r="CL268" i="1"/>
  <c r="CH268" i="1"/>
  <c r="AS268" i="1"/>
  <c r="BS268" i="1"/>
  <c r="AZ268" i="1"/>
  <c r="BD268" i="1"/>
  <c r="AG268" i="1"/>
  <c r="BZ268" i="1"/>
  <c r="BH268" i="1"/>
  <c r="AK268" i="1"/>
  <c r="CW268" i="1"/>
  <c r="CD268" i="1"/>
  <c r="BO268" i="1"/>
  <c r="N268" i="1"/>
  <c r="R268" i="1"/>
  <c r="Y268" i="1"/>
  <c r="AO268" i="1"/>
  <c r="AC268" i="1"/>
  <c r="S268" i="1"/>
  <c r="AP268" i="1"/>
  <c r="Z268" i="1"/>
  <c r="O268" i="1"/>
  <c r="V267" i="1"/>
  <c r="A269" i="1"/>
  <c r="DZ268" i="1"/>
  <c r="V104" i="1" l="1"/>
  <c r="AG105" i="1"/>
  <c r="DZ105" i="1"/>
  <c r="AH105" i="1"/>
  <c r="CD105" i="1"/>
  <c r="CE105" i="1"/>
  <c r="AC105" i="1"/>
  <c r="CL105" i="1"/>
  <c r="BO105" i="1"/>
  <c r="BP105" i="1"/>
  <c r="BW105" i="1" s="1"/>
  <c r="AW104" i="1"/>
  <c r="O105" i="1"/>
  <c r="BZ105" i="1"/>
  <c r="AP105" i="1"/>
  <c r="R105" i="1"/>
  <c r="CA105" i="1"/>
  <c r="AN105" i="1"/>
  <c r="AN169" i="1" s="1"/>
  <c r="S105" i="1"/>
  <c r="CS105" i="1"/>
  <c r="AS105" i="1"/>
  <c r="AO105" i="1"/>
  <c r="Y105" i="1"/>
  <c r="CT105" i="1"/>
  <c r="DA105" i="1" s="1"/>
  <c r="AT105" i="1"/>
  <c r="A106" i="1"/>
  <c r="BO106" i="1" s="1"/>
  <c r="Z105" i="1"/>
  <c r="AZ105" i="1"/>
  <c r="N105" i="1"/>
  <c r="AD105" i="1"/>
  <c r="DE169" i="1"/>
  <c r="DD169" i="1"/>
  <c r="V168" i="1"/>
  <c r="C178" i="1"/>
  <c r="C114" i="1"/>
  <c r="D43" i="2"/>
  <c r="EC294" i="1" s="1"/>
  <c r="D179" i="1"/>
  <c r="D115" i="1"/>
  <c r="C42" i="2"/>
  <c r="E42" i="2"/>
  <c r="E178" i="1"/>
  <c r="E114" i="1"/>
  <c r="DZ169" i="1"/>
  <c r="CL169" i="1"/>
  <c r="BP169" i="1"/>
  <c r="BW169" i="1" s="1"/>
  <c r="BO169" i="1"/>
  <c r="CT169" i="1"/>
  <c r="DA169" i="1" s="1"/>
  <c r="CA169" i="1"/>
  <c r="CS169" i="1"/>
  <c r="BZ169" i="1"/>
  <c r="BD169" i="1"/>
  <c r="CE169" i="1"/>
  <c r="CD169" i="1"/>
  <c r="BA169" i="1"/>
  <c r="N169" i="1"/>
  <c r="AZ169" i="1"/>
  <c r="Z169" i="1"/>
  <c r="AD169" i="1"/>
  <c r="AH169" i="1"/>
  <c r="AP169" i="1"/>
  <c r="AO169" i="1"/>
  <c r="AT169" i="1"/>
  <c r="S169" i="1"/>
  <c r="AG169" i="1"/>
  <c r="BH169" i="1"/>
  <c r="AS169" i="1"/>
  <c r="AC169" i="1"/>
  <c r="O169" i="1"/>
  <c r="Y169" i="1"/>
  <c r="R169" i="1"/>
  <c r="O106" i="1"/>
  <c r="DZ106" i="1"/>
  <c r="AW168" i="1"/>
  <c r="A170" i="1"/>
  <c r="R269" i="1"/>
  <c r="N269" i="1"/>
  <c r="AO269" i="1"/>
  <c r="Y269" i="1"/>
  <c r="V268" i="1"/>
  <c r="AP269" i="1"/>
  <c r="Z269" i="1"/>
  <c r="S269" i="1"/>
  <c r="O269" i="1"/>
  <c r="A270" i="1"/>
  <c r="DZ269" i="1"/>
  <c r="R106" i="1" l="1"/>
  <c r="S106" i="1"/>
  <c r="CS106" i="1"/>
  <c r="BP106" i="1"/>
  <c r="BW106" i="1" s="1"/>
  <c r="AW105" i="1"/>
  <c r="CL106" i="1"/>
  <c r="AN106" i="1"/>
  <c r="AN170" i="1" s="1"/>
  <c r="V105" i="1"/>
  <c r="Y106" i="1"/>
  <c r="AS106" i="1"/>
  <c r="CD106" i="1"/>
  <c r="AP106" i="1"/>
  <c r="CE106" i="1"/>
  <c r="AT106" i="1"/>
  <c r="AH106" i="1"/>
  <c r="BZ106" i="1"/>
  <c r="CA106" i="1"/>
  <c r="N106" i="1"/>
  <c r="Z106" i="1"/>
  <c r="CT106" i="1"/>
  <c r="DA106" i="1" s="1"/>
  <c r="DC106" i="1"/>
  <c r="AO106" i="1"/>
  <c r="AC106" i="1"/>
  <c r="AZ106" i="1"/>
  <c r="DE106" i="1"/>
  <c r="A107" i="1"/>
  <c r="AS107" i="1" s="1"/>
  <c r="AD106" i="1"/>
  <c r="BA106" i="1"/>
  <c r="DD106" i="1"/>
  <c r="AG106" i="1"/>
  <c r="DE170" i="1"/>
  <c r="DD170" i="1"/>
  <c r="V106" i="1"/>
  <c r="E179" i="1"/>
  <c r="E115" i="1"/>
  <c r="C179" i="1"/>
  <c r="C115" i="1"/>
  <c r="D44" i="2"/>
  <c r="EC295" i="1" s="1"/>
  <c r="D180" i="1"/>
  <c r="D116" i="1"/>
  <c r="E43" i="2"/>
  <c r="C43" i="2"/>
  <c r="V169" i="1"/>
  <c r="DZ170" i="1"/>
  <c r="CL170" i="1"/>
  <c r="BA170" i="1"/>
  <c r="CT170" i="1"/>
  <c r="DA170" i="1" s="1"/>
  <c r="CA170" i="1"/>
  <c r="CS170" i="1"/>
  <c r="BZ170" i="1"/>
  <c r="CE170" i="1"/>
  <c r="CD170" i="1"/>
  <c r="BP170" i="1"/>
  <c r="BW170" i="1" s="1"/>
  <c r="Z170" i="1"/>
  <c r="AD170" i="1"/>
  <c r="AH170" i="1"/>
  <c r="N170" i="1"/>
  <c r="BO170" i="1"/>
  <c r="BD170" i="1"/>
  <c r="AP170" i="1"/>
  <c r="AT170" i="1"/>
  <c r="AS170" i="1"/>
  <c r="AO170" i="1"/>
  <c r="BH170" i="1"/>
  <c r="S170" i="1"/>
  <c r="AG170" i="1"/>
  <c r="AC170" i="1"/>
  <c r="O170" i="1"/>
  <c r="Y170" i="1"/>
  <c r="R170" i="1"/>
  <c r="AZ170" i="1"/>
  <c r="AW169" i="1"/>
  <c r="A171" i="1"/>
  <c r="CT270" i="1"/>
  <c r="AO270" i="1"/>
  <c r="R270" i="1"/>
  <c r="N270" i="1"/>
  <c r="Y270" i="1"/>
  <c r="V269" i="1"/>
  <c r="AP270" i="1"/>
  <c r="Z270" i="1"/>
  <c r="S270" i="1"/>
  <c r="O270" i="1"/>
  <c r="A271" i="1"/>
  <c r="DZ270" i="1"/>
  <c r="AW106" i="1" l="1"/>
  <c r="BO107" i="1"/>
  <c r="CT107" i="1"/>
  <c r="DA107" i="1" s="1"/>
  <c r="DZ107" i="1"/>
  <c r="BP107" i="1"/>
  <c r="BW107" i="1" s="1"/>
  <c r="O107" i="1"/>
  <c r="CD107" i="1"/>
  <c r="DD107" i="1"/>
  <c r="AC107" i="1"/>
  <c r="AG107" i="1"/>
  <c r="BD107" i="1"/>
  <c r="DE107" i="1"/>
  <c r="AD107" i="1"/>
  <c r="CE107" i="1"/>
  <c r="AT107" i="1"/>
  <c r="S107" i="1"/>
  <c r="AH107" i="1"/>
  <c r="CL107" i="1"/>
  <c r="A108" i="1"/>
  <c r="S108" i="1" s="1"/>
  <c r="AZ107" i="1"/>
  <c r="BZ107" i="1"/>
  <c r="AN107" i="1"/>
  <c r="AN171" i="1" s="1"/>
  <c r="N107" i="1"/>
  <c r="BA107" i="1"/>
  <c r="CA107" i="1"/>
  <c r="BH107" i="1"/>
  <c r="AO107" i="1"/>
  <c r="Y107" i="1"/>
  <c r="CS107" i="1"/>
  <c r="BI107" i="1"/>
  <c r="Z107" i="1"/>
  <c r="R107" i="1"/>
  <c r="AP107" i="1"/>
  <c r="DC107" i="1"/>
  <c r="BE107" i="1"/>
  <c r="DE171" i="1"/>
  <c r="DD171" i="1"/>
  <c r="V170" i="1"/>
  <c r="E180" i="1"/>
  <c r="E116" i="1"/>
  <c r="D181" i="1"/>
  <c r="D117" i="1"/>
  <c r="E44" i="2"/>
  <c r="C44" i="2"/>
  <c r="C180" i="1"/>
  <c r="C116" i="1"/>
  <c r="DZ171" i="1"/>
  <c r="CL171" i="1"/>
  <c r="CS171" i="1"/>
  <c r="BZ171" i="1"/>
  <c r="CE171" i="1"/>
  <c r="CD171" i="1"/>
  <c r="BP171" i="1"/>
  <c r="BW171" i="1" s="1"/>
  <c r="BI171" i="1"/>
  <c r="BO171" i="1"/>
  <c r="BH171" i="1"/>
  <c r="CT171" i="1"/>
  <c r="DA171" i="1" s="1"/>
  <c r="CA171" i="1"/>
  <c r="Z171" i="1"/>
  <c r="AD171" i="1"/>
  <c r="AH171" i="1"/>
  <c r="BE171" i="1"/>
  <c r="BD171" i="1"/>
  <c r="N171" i="1"/>
  <c r="AT171" i="1"/>
  <c r="AS171" i="1"/>
  <c r="AP171" i="1"/>
  <c r="AO171" i="1"/>
  <c r="S171" i="1"/>
  <c r="AG171" i="1"/>
  <c r="AC171" i="1"/>
  <c r="BA171" i="1"/>
  <c r="O171" i="1"/>
  <c r="Y171" i="1"/>
  <c r="AZ171" i="1"/>
  <c r="R171" i="1"/>
  <c r="CT108" i="1"/>
  <c r="DA108" i="1" s="1"/>
  <c r="A172" i="1"/>
  <c r="AW170" i="1"/>
  <c r="AO271" i="1"/>
  <c r="N271" i="1"/>
  <c r="R271" i="1"/>
  <c r="CT271" i="1"/>
  <c r="Y271" i="1"/>
  <c r="AP271" i="1"/>
  <c r="O271" i="1"/>
  <c r="Z271" i="1"/>
  <c r="S271" i="1"/>
  <c r="V270" i="1"/>
  <c r="A272" i="1"/>
  <c r="DZ271" i="1"/>
  <c r="BL107" i="1" l="1"/>
  <c r="AW107" i="1"/>
  <c r="DE108" i="1"/>
  <c r="DC108" i="1"/>
  <c r="O108" i="1"/>
  <c r="R108" i="1"/>
  <c r="V107" i="1"/>
  <c r="BA108" i="1"/>
  <c r="BO108" i="1"/>
  <c r="BP108" i="1"/>
  <c r="BW108" i="1" s="1"/>
  <c r="DD108" i="1"/>
  <c r="Y108" i="1"/>
  <c r="AS108" i="1"/>
  <c r="BH108" i="1"/>
  <c r="DZ108" i="1"/>
  <c r="AT108" i="1"/>
  <c r="AC108" i="1"/>
  <c r="CL108" i="1"/>
  <c r="AO108" i="1"/>
  <c r="AZ108" i="1"/>
  <c r="AD108" i="1"/>
  <c r="BE108" i="1"/>
  <c r="A109" i="1"/>
  <c r="DZ109" i="1" s="1"/>
  <c r="Z108" i="1"/>
  <c r="CD108" i="1"/>
  <c r="BD108" i="1"/>
  <c r="N108" i="1"/>
  <c r="BZ108" i="1"/>
  <c r="AG108" i="1"/>
  <c r="AN108" i="1"/>
  <c r="AN172" i="1" s="1"/>
  <c r="CA108" i="1"/>
  <c r="CE108" i="1"/>
  <c r="BI108" i="1"/>
  <c r="CS108" i="1"/>
  <c r="AH108" i="1"/>
  <c r="AP108" i="1"/>
  <c r="BL171" i="1"/>
  <c r="DE172" i="1"/>
  <c r="DD172" i="1"/>
  <c r="V171" i="1"/>
  <c r="E181" i="1"/>
  <c r="E117" i="1"/>
  <c r="C181" i="1"/>
  <c r="C117" i="1"/>
  <c r="DZ172" i="1"/>
  <c r="CL172" i="1"/>
  <c r="O172" i="1"/>
  <c r="CE172" i="1"/>
  <c r="CD172" i="1"/>
  <c r="BP172" i="1"/>
  <c r="BW172" i="1" s="1"/>
  <c r="BI172" i="1"/>
  <c r="BO172" i="1"/>
  <c r="BH172" i="1"/>
  <c r="CT172" i="1"/>
  <c r="DA172" i="1" s="1"/>
  <c r="CA172" i="1"/>
  <c r="CS172" i="1"/>
  <c r="BZ172" i="1"/>
  <c r="BD172" i="1"/>
  <c r="AH172" i="1"/>
  <c r="AT172" i="1"/>
  <c r="AS172" i="1"/>
  <c r="N172" i="1"/>
  <c r="AP172" i="1"/>
  <c r="AO172" i="1"/>
  <c r="BA172" i="1"/>
  <c r="S172" i="1"/>
  <c r="AG172" i="1"/>
  <c r="AZ172" i="1"/>
  <c r="AC172" i="1"/>
  <c r="Y172" i="1"/>
  <c r="R172" i="1"/>
  <c r="BE172" i="1"/>
  <c r="Z172" i="1"/>
  <c r="AD172" i="1"/>
  <c r="AW171" i="1"/>
  <c r="A173" i="1"/>
  <c r="V108" i="1"/>
  <c r="CT272" i="1"/>
  <c r="Y272" i="1"/>
  <c r="AO272" i="1"/>
  <c r="N272" i="1"/>
  <c r="R272" i="1"/>
  <c r="V271" i="1"/>
  <c r="Z272" i="1"/>
  <c r="O272" i="1"/>
  <c r="S272" i="1"/>
  <c r="AP272" i="1"/>
  <c r="A273" i="1"/>
  <c r="DZ272" i="1"/>
  <c r="CA109" i="1" l="1"/>
  <c r="CS109" i="1"/>
  <c r="CD109" i="1"/>
  <c r="AW108" i="1"/>
  <c r="BZ109" i="1"/>
  <c r="CE109" i="1"/>
  <c r="AP109" i="1"/>
  <c r="AW109" i="1" s="1"/>
  <c r="AG109" i="1"/>
  <c r="BE109" i="1"/>
  <c r="BL108" i="1"/>
  <c r="A110" i="1"/>
  <c r="DC110" i="1" s="1"/>
  <c r="BD109" i="1"/>
  <c r="AH109" i="1"/>
  <c r="AZ109" i="1"/>
  <c r="BH109" i="1"/>
  <c r="DD109" i="1"/>
  <c r="O109" i="1"/>
  <c r="BA109" i="1"/>
  <c r="BI109" i="1"/>
  <c r="DE109" i="1"/>
  <c r="Z109" i="1"/>
  <c r="BO109" i="1"/>
  <c r="CL109" i="1"/>
  <c r="DC109" i="1"/>
  <c r="R109" i="1"/>
  <c r="BP109" i="1"/>
  <c r="BW109" i="1" s="1"/>
  <c r="AN109" i="1"/>
  <c r="AN173" i="1" s="1"/>
  <c r="N109" i="1"/>
  <c r="S109" i="1"/>
  <c r="AC109" i="1"/>
  <c r="AS109" i="1"/>
  <c r="AO109" i="1"/>
  <c r="Y109" i="1"/>
  <c r="AD109" i="1"/>
  <c r="AT109" i="1"/>
  <c r="CT109" i="1"/>
  <c r="DA109" i="1" s="1"/>
  <c r="DE110" i="1"/>
  <c r="BL172" i="1"/>
  <c r="DD173" i="1"/>
  <c r="DE173" i="1"/>
  <c r="V172" i="1"/>
  <c r="DZ173" i="1"/>
  <c r="CL173" i="1"/>
  <c r="AS173" i="1"/>
  <c r="S173" i="1"/>
  <c r="BP173" i="1"/>
  <c r="BW173" i="1" s="1"/>
  <c r="BI173" i="1"/>
  <c r="BO173" i="1"/>
  <c r="BH173" i="1"/>
  <c r="CT173" i="1"/>
  <c r="DA173" i="1" s="1"/>
  <c r="CA173" i="1"/>
  <c r="CS173" i="1"/>
  <c r="BZ173" i="1"/>
  <c r="CE173" i="1"/>
  <c r="CD173" i="1"/>
  <c r="AT173" i="1"/>
  <c r="N173" i="1"/>
  <c r="BA173" i="1"/>
  <c r="AO173" i="1"/>
  <c r="AZ173" i="1"/>
  <c r="AG173" i="1"/>
  <c r="AP173" i="1"/>
  <c r="AC173" i="1"/>
  <c r="Y173" i="1"/>
  <c r="O173" i="1"/>
  <c r="R173" i="1"/>
  <c r="BE173" i="1"/>
  <c r="BD173" i="1"/>
  <c r="Z173" i="1"/>
  <c r="AD173" i="1"/>
  <c r="AH173" i="1"/>
  <c r="AP110" i="1"/>
  <c r="BE110" i="1"/>
  <c r="AS110" i="1"/>
  <c r="BI110" i="1"/>
  <c r="BH110" i="1"/>
  <c r="AN110" i="1"/>
  <c r="AN174" i="1" s="1"/>
  <c r="CL110" i="1"/>
  <c r="AD110" i="1"/>
  <c r="BO110" i="1"/>
  <c r="BA110" i="1"/>
  <c r="AZ110" i="1"/>
  <c r="CT110" i="1"/>
  <c r="DA110" i="1" s="1"/>
  <c r="CS110" i="1"/>
  <c r="CA110" i="1"/>
  <c r="BZ110" i="1"/>
  <c r="CE110" i="1"/>
  <c r="R110" i="1"/>
  <c r="Z110" i="1"/>
  <c r="AH110" i="1"/>
  <c r="Y110" i="1"/>
  <c r="AG110" i="1"/>
  <c r="O110" i="1"/>
  <c r="DZ110" i="1"/>
  <c r="A174" i="1"/>
  <c r="AO110" i="1"/>
  <c r="AW172" i="1"/>
  <c r="CT273" i="1"/>
  <c r="AO273" i="1"/>
  <c r="Y273" i="1"/>
  <c r="N273" i="1"/>
  <c r="R273" i="1"/>
  <c r="Z273" i="1"/>
  <c r="O273" i="1"/>
  <c r="S273" i="1"/>
  <c r="AP273" i="1"/>
  <c r="V272" i="1"/>
  <c r="A274" i="1"/>
  <c r="DZ273" i="1"/>
  <c r="BL109" i="1" l="1"/>
  <c r="V109" i="1"/>
  <c r="N110" i="1"/>
  <c r="S110" i="1"/>
  <c r="V110" i="1" s="1"/>
  <c r="BP110" i="1"/>
  <c r="BW110" i="1" s="1"/>
  <c r="AT110" i="1"/>
  <c r="AW110" i="1" s="1"/>
  <c r="DD110" i="1"/>
  <c r="A111" i="1"/>
  <c r="CL111" i="1" s="1"/>
  <c r="CD110" i="1"/>
  <c r="AC110" i="1"/>
  <c r="BD110" i="1"/>
  <c r="BL173" i="1"/>
  <c r="BL110" i="1"/>
  <c r="DD174" i="1"/>
  <c r="DE174" i="1"/>
  <c r="V173" i="1"/>
  <c r="DZ174" i="1"/>
  <c r="CL174" i="1"/>
  <c r="BP174" i="1"/>
  <c r="BW174" i="1" s="1"/>
  <c r="BI174" i="1"/>
  <c r="BO174" i="1"/>
  <c r="BH174" i="1"/>
  <c r="CT174" i="1"/>
  <c r="DA174" i="1" s="1"/>
  <c r="CA174" i="1"/>
  <c r="CS174" i="1"/>
  <c r="BZ174" i="1"/>
  <c r="CE174" i="1"/>
  <c r="CD174" i="1"/>
  <c r="BA174" i="1"/>
  <c r="AZ174" i="1"/>
  <c r="AO174" i="1"/>
  <c r="N174" i="1"/>
  <c r="AG174" i="1"/>
  <c r="S174" i="1"/>
  <c r="AC174" i="1"/>
  <c r="Y174" i="1"/>
  <c r="R174" i="1"/>
  <c r="BE174" i="1"/>
  <c r="O174" i="1"/>
  <c r="AP174" i="1"/>
  <c r="BD174" i="1"/>
  <c r="Z174" i="1"/>
  <c r="AD174" i="1"/>
  <c r="AT174" i="1"/>
  <c r="AH174" i="1"/>
  <c r="AS174" i="1"/>
  <c r="AP111" i="1"/>
  <c r="BH111" i="1"/>
  <c r="A175" i="1"/>
  <c r="AW173" i="1"/>
  <c r="CT274" i="1"/>
  <c r="Y274" i="1"/>
  <c r="AO274" i="1"/>
  <c r="AS274" i="1"/>
  <c r="N274" i="1"/>
  <c r="R274" i="1"/>
  <c r="V273" i="1"/>
  <c r="S274" i="1"/>
  <c r="O274" i="1"/>
  <c r="AP274" i="1"/>
  <c r="Z274" i="1"/>
  <c r="A275" i="1"/>
  <c r="DZ274" i="1"/>
  <c r="AO111" i="1" l="1"/>
  <c r="N111" i="1"/>
  <c r="A112" i="1"/>
  <c r="AZ112" i="1" s="1"/>
  <c r="AD111" i="1"/>
  <c r="AH111" i="1"/>
  <c r="CE111" i="1"/>
  <c r="BZ111" i="1"/>
  <c r="CA111" i="1"/>
  <c r="CS111" i="1"/>
  <c r="CT111" i="1"/>
  <c r="DA111" i="1" s="1"/>
  <c r="AN111" i="1"/>
  <c r="AN175" i="1" s="1"/>
  <c r="S111" i="1"/>
  <c r="BE111" i="1"/>
  <c r="O111" i="1"/>
  <c r="R111" i="1"/>
  <c r="AC111" i="1"/>
  <c r="BD111" i="1"/>
  <c r="BI111" i="1"/>
  <c r="DE111" i="1"/>
  <c r="Y111" i="1"/>
  <c r="BA111" i="1"/>
  <c r="AS111" i="1"/>
  <c r="DD111" i="1"/>
  <c r="Z111" i="1"/>
  <c r="BO111" i="1"/>
  <c r="AT111" i="1"/>
  <c r="AW111" i="1" s="1"/>
  <c r="DC111" i="1"/>
  <c r="BP111" i="1"/>
  <c r="BW111" i="1" s="1"/>
  <c r="AZ111" i="1"/>
  <c r="CD111" i="1"/>
  <c r="DZ111" i="1"/>
  <c r="AG111" i="1"/>
  <c r="DC112" i="1"/>
  <c r="DE112" i="1"/>
  <c r="DD112" i="1"/>
  <c r="BL174" i="1"/>
  <c r="DE175" i="1"/>
  <c r="DD175" i="1"/>
  <c r="V174" i="1"/>
  <c r="DZ175" i="1"/>
  <c r="CL175" i="1"/>
  <c r="CT175" i="1"/>
  <c r="DA175" i="1" s="1"/>
  <c r="CA175" i="1"/>
  <c r="CS175" i="1"/>
  <c r="BZ175" i="1"/>
  <c r="CE175" i="1"/>
  <c r="CD175" i="1"/>
  <c r="BD175" i="1"/>
  <c r="BA175" i="1"/>
  <c r="AZ175" i="1"/>
  <c r="BP175" i="1"/>
  <c r="BW175" i="1" s="1"/>
  <c r="BO175" i="1"/>
  <c r="AO175" i="1"/>
  <c r="AG175" i="1"/>
  <c r="S175" i="1"/>
  <c r="AC175" i="1"/>
  <c r="N175" i="1"/>
  <c r="BE175" i="1"/>
  <c r="Y175" i="1"/>
  <c r="BI175" i="1"/>
  <c r="O175" i="1"/>
  <c r="R175" i="1"/>
  <c r="BH175" i="1"/>
  <c r="AT175" i="1"/>
  <c r="AP175" i="1"/>
  <c r="AS175" i="1"/>
  <c r="Z175" i="1"/>
  <c r="AD175" i="1"/>
  <c r="AH175" i="1"/>
  <c r="BH112" i="1"/>
  <c r="AP112" i="1"/>
  <c r="AT112" i="1"/>
  <c r="BD112" i="1"/>
  <c r="BE112" i="1"/>
  <c r="AN112" i="1"/>
  <c r="AN176" i="1" s="1"/>
  <c r="CL112" i="1"/>
  <c r="AS112" i="1"/>
  <c r="CT112" i="1"/>
  <c r="DA112" i="1" s="1"/>
  <c r="CS112" i="1"/>
  <c r="CA112" i="1"/>
  <c r="BZ112" i="1"/>
  <c r="AH112" i="1"/>
  <c r="CE112" i="1"/>
  <c r="AG112" i="1"/>
  <c r="CD112" i="1"/>
  <c r="BA112" i="1"/>
  <c r="Z112" i="1"/>
  <c r="Y112" i="1"/>
  <c r="AD112" i="1"/>
  <c r="AC112" i="1"/>
  <c r="R112" i="1"/>
  <c r="O112" i="1"/>
  <c r="DZ112" i="1"/>
  <c r="AO112" i="1"/>
  <c r="A176" i="1"/>
  <c r="AW174" i="1"/>
  <c r="AS275" i="1"/>
  <c r="R275" i="1"/>
  <c r="AO275" i="1"/>
  <c r="CT275" i="1"/>
  <c r="Y275" i="1"/>
  <c r="N275" i="1"/>
  <c r="V274" i="1"/>
  <c r="S275" i="1"/>
  <c r="AP275" i="1"/>
  <c r="O275" i="1"/>
  <c r="Z275" i="1"/>
  <c r="A276" i="1"/>
  <c r="DZ275" i="1"/>
  <c r="N112" i="1" l="1"/>
  <c r="BO112" i="1"/>
  <c r="S112" i="1"/>
  <c r="BI112" i="1"/>
  <c r="BL112" i="1" s="1"/>
  <c r="A113" i="1"/>
  <c r="DE113" i="1" s="1"/>
  <c r="BP112" i="1"/>
  <c r="BW112" i="1" s="1"/>
  <c r="V111" i="1"/>
  <c r="BL111" i="1"/>
  <c r="BL175" i="1"/>
  <c r="V112" i="1"/>
  <c r="DE176" i="1"/>
  <c r="DD176" i="1"/>
  <c r="V175" i="1"/>
  <c r="DZ176" i="1"/>
  <c r="CL176" i="1"/>
  <c r="CT176" i="1"/>
  <c r="DA176" i="1" s="1"/>
  <c r="CA176" i="1"/>
  <c r="CS176" i="1"/>
  <c r="BZ176" i="1"/>
  <c r="CE176" i="1"/>
  <c r="CD176" i="1"/>
  <c r="BP176" i="1"/>
  <c r="BW176" i="1" s="1"/>
  <c r="BI176" i="1"/>
  <c r="BO176" i="1"/>
  <c r="BH176" i="1"/>
  <c r="AZ176" i="1"/>
  <c r="AO176" i="1"/>
  <c r="BE176" i="1"/>
  <c r="AG176" i="1"/>
  <c r="BD176" i="1"/>
  <c r="S176" i="1"/>
  <c r="AC176" i="1"/>
  <c r="Y176" i="1"/>
  <c r="AT176" i="1"/>
  <c r="O176" i="1"/>
  <c r="R176" i="1"/>
  <c r="N176" i="1"/>
  <c r="AS176" i="1"/>
  <c r="Z176" i="1"/>
  <c r="AD176" i="1"/>
  <c r="AH176" i="1"/>
  <c r="AP176" i="1"/>
  <c r="BA176" i="1"/>
  <c r="BH113" i="1"/>
  <c r="AT113" i="1"/>
  <c r="AS113" i="1"/>
  <c r="AN113" i="1"/>
  <c r="AN177" i="1" s="1"/>
  <c r="CL113" i="1"/>
  <c r="BZ113" i="1"/>
  <c r="Z113" i="1"/>
  <c r="AD113" i="1"/>
  <c r="AC113" i="1"/>
  <c r="BP113" i="1"/>
  <c r="BW113" i="1" s="1"/>
  <c r="BO113" i="1"/>
  <c r="CT113" i="1"/>
  <c r="DA113" i="1" s="1"/>
  <c r="CS113" i="1"/>
  <c r="S113" i="1"/>
  <c r="R113" i="1"/>
  <c r="O113" i="1"/>
  <c r="DZ113" i="1"/>
  <c r="AW175" i="1"/>
  <c r="A114" i="1"/>
  <c r="AW112" i="1"/>
  <c r="A177" i="1"/>
  <c r="AO276" i="1"/>
  <c r="AS276" i="1"/>
  <c r="CT276" i="1"/>
  <c r="Y276" i="1"/>
  <c r="N276" i="1"/>
  <c r="R276" i="1"/>
  <c r="V275" i="1"/>
  <c r="S276" i="1"/>
  <c r="AT276" i="1"/>
  <c r="AP276" i="1"/>
  <c r="Z276" i="1"/>
  <c r="O276" i="1"/>
  <c r="A277" i="1"/>
  <c r="DZ276" i="1"/>
  <c r="Y113" i="1" l="1"/>
  <c r="CD113" i="1"/>
  <c r="BI113" i="1"/>
  <c r="AZ113" i="1"/>
  <c r="AG113" i="1"/>
  <c r="BE113" i="1"/>
  <c r="DD113" i="1"/>
  <c r="AO113" i="1"/>
  <c r="BA113" i="1"/>
  <c r="CE113" i="1"/>
  <c r="BD113" i="1"/>
  <c r="DC113" i="1"/>
  <c r="N113" i="1"/>
  <c r="CA113" i="1"/>
  <c r="AH113" i="1"/>
  <c r="AP113" i="1"/>
  <c r="AW113" i="1" s="1"/>
  <c r="DE114" i="1"/>
  <c r="DD114" i="1"/>
  <c r="DC114" i="1"/>
  <c r="BL176" i="1"/>
  <c r="DE177" i="1"/>
  <c r="DD177" i="1"/>
  <c r="V113" i="1"/>
  <c r="V176" i="1"/>
  <c r="DZ177" i="1"/>
  <c r="CL177" i="1"/>
  <c r="CE177" i="1"/>
  <c r="CD177" i="1"/>
  <c r="BP177" i="1"/>
  <c r="BW177" i="1" s="1"/>
  <c r="BI177" i="1"/>
  <c r="BO177" i="1"/>
  <c r="BH177" i="1"/>
  <c r="CT177" i="1"/>
  <c r="DA177" i="1" s="1"/>
  <c r="CA177" i="1"/>
  <c r="CS177" i="1"/>
  <c r="BZ177" i="1"/>
  <c r="BE177" i="1"/>
  <c r="BD177" i="1"/>
  <c r="AO177" i="1"/>
  <c r="AG177" i="1"/>
  <c r="AT177" i="1"/>
  <c r="S177" i="1"/>
  <c r="AC177" i="1"/>
  <c r="AS177" i="1"/>
  <c r="Y177" i="1"/>
  <c r="O177" i="1"/>
  <c r="R177" i="1"/>
  <c r="N177" i="1"/>
  <c r="Z177" i="1"/>
  <c r="AD177" i="1"/>
  <c r="AH177" i="1"/>
  <c r="BA177" i="1"/>
  <c r="AZ177" i="1"/>
  <c r="AP177" i="1"/>
  <c r="BD114" i="1"/>
  <c r="BE114" i="1"/>
  <c r="BH114" i="1"/>
  <c r="CL114" i="1"/>
  <c r="AN114" i="1"/>
  <c r="AN178" i="1" s="1"/>
  <c r="AT114" i="1"/>
  <c r="AP114" i="1"/>
  <c r="AS114" i="1"/>
  <c r="BI114" i="1"/>
  <c r="AH114" i="1"/>
  <c r="CE114" i="1"/>
  <c r="AG114" i="1"/>
  <c r="CD114" i="1"/>
  <c r="AD114" i="1"/>
  <c r="AC114" i="1"/>
  <c r="BP114" i="1"/>
  <c r="BW114" i="1" s="1"/>
  <c r="BO114" i="1"/>
  <c r="BA114" i="1"/>
  <c r="AZ114" i="1"/>
  <c r="CT114" i="1"/>
  <c r="DA114" i="1" s="1"/>
  <c r="CS114" i="1"/>
  <c r="CA114" i="1"/>
  <c r="BZ114" i="1"/>
  <c r="Z114" i="1"/>
  <c r="Y114" i="1"/>
  <c r="S114" i="1"/>
  <c r="R114" i="1"/>
  <c r="O114" i="1"/>
  <c r="DZ114" i="1"/>
  <c r="A178" i="1"/>
  <c r="A115" i="1"/>
  <c r="N114" i="1"/>
  <c r="AO114" i="1"/>
  <c r="AW176" i="1"/>
  <c r="CT277" i="1"/>
  <c r="AO277" i="1"/>
  <c r="AS277" i="1"/>
  <c r="Y277" i="1"/>
  <c r="R277" i="1"/>
  <c r="N277" i="1"/>
  <c r="AT277" i="1"/>
  <c r="AP277" i="1"/>
  <c r="Z277" i="1"/>
  <c r="S277" i="1"/>
  <c r="O277" i="1"/>
  <c r="V276" i="1"/>
  <c r="A278" i="1"/>
  <c r="DZ277" i="1"/>
  <c r="BL113" i="1" l="1"/>
  <c r="DD115" i="1"/>
  <c r="DE115" i="1"/>
  <c r="DC115" i="1"/>
  <c r="BL114" i="1"/>
  <c r="BL177" i="1"/>
  <c r="DE178" i="1"/>
  <c r="DD178" i="1"/>
  <c r="V177" i="1"/>
  <c r="DZ178" i="1"/>
  <c r="CL178" i="1"/>
  <c r="CD178" i="1"/>
  <c r="BD178" i="1"/>
  <c r="AT178" i="1"/>
  <c r="BP178" i="1"/>
  <c r="BW178" i="1" s="1"/>
  <c r="BI178" i="1"/>
  <c r="BO178" i="1"/>
  <c r="BH178" i="1"/>
  <c r="AZ178" i="1"/>
  <c r="CT178" i="1"/>
  <c r="DA178" i="1" s="1"/>
  <c r="CA178" i="1"/>
  <c r="CS178" i="1"/>
  <c r="BZ178" i="1"/>
  <c r="CE178" i="1"/>
  <c r="BE178" i="1"/>
  <c r="AO178" i="1"/>
  <c r="AS178" i="1"/>
  <c r="AG178" i="1"/>
  <c r="S178" i="1"/>
  <c r="AC178" i="1"/>
  <c r="Y178" i="1"/>
  <c r="O178" i="1"/>
  <c r="R178" i="1"/>
  <c r="Z178" i="1"/>
  <c r="AD178" i="1"/>
  <c r="BA178" i="1"/>
  <c r="AH178" i="1"/>
  <c r="N178" i="1"/>
  <c r="AP178" i="1"/>
  <c r="BD115" i="1"/>
  <c r="AN115" i="1"/>
  <c r="AN179" i="1" s="1"/>
  <c r="BE115" i="1"/>
  <c r="AT115" i="1"/>
  <c r="AS115" i="1"/>
  <c r="CL115" i="1"/>
  <c r="BI115" i="1"/>
  <c r="AP115" i="1"/>
  <c r="BH115" i="1"/>
  <c r="CD115" i="1"/>
  <c r="AD115" i="1"/>
  <c r="AC115" i="1"/>
  <c r="BP115" i="1"/>
  <c r="BW115" i="1" s="1"/>
  <c r="BO115" i="1"/>
  <c r="BA115" i="1"/>
  <c r="AZ115" i="1"/>
  <c r="CT115" i="1"/>
  <c r="DA115" i="1" s="1"/>
  <c r="CS115" i="1"/>
  <c r="CA115" i="1"/>
  <c r="BZ115" i="1"/>
  <c r="CE115" i="1"/>
  <c r="S115" i="1"/>
  <c r="R115" i="1"/>
  <c r="AH115" i="1"/>
  <c r="AG115" i="1"/>
  <c r="Z115" i="1"/>
  <c r="Y115" i="1"/>
  <c r="O115" i="1"/>
  <c r="DZ115" i="1"/>
  <c r="V114" i="1"/>
  <c r="AW114" i="1"/>
  <c r="A179" i="1"/>
  <c r="A116" i="1"/>
  <c r="N115" i="1"/>
  <c r="AO115" i="1"/>
  <c r="AW177" i="1"/>
  <c r="CT278" i="1"/>
  <c r="AO278" i="1"/>
  <c r="AS278" i="1"/>
  <c r="Y278" i="1"/>
  <c r="R278" i="1"/>
  <c r="N278" i="1"/>
  <c r="V277" i="1"/>
  <c r="AP278" i="1"/>
  <c r="Z278" i="1"/>
  <c r="AT278" i="1"/>
  <c r="O278" i="1"/>
  <c r="S278" i="1"/>
  <c r="A279" i="1"/>
  <c r="DZ278" i="1"/>
  <c r="BL178" i="1" l="1"/>
  <c r="DD116" i="1"/>
  <c r="DE116" i="1"/>
  <c r="DC116" i="1"/>
  <c r="BL115" i="1"/>
  <c r="DE179" i="1"/>
  <c r="DD179" i="1"/>
  <c r="DZ179" i="1"/>
  <c r="CL179" i="1"/>
  <c r="BP179" i="1"/>
  <c r="BW179" i="1" s="1"/>
  <c r="BI179" i="1"/>
  <c r="BO179" i="1"/>
  <c r="BH179" i="1"/>
  <c r="CT179" i="1"/>
  <c r="DA179" i="1" s="1"/>
  <c r="CA179" i="1"/>
  <c r="CS179" i="1"/>
  <c r="BZ179" i="1"/>
  <c r="CE179" i="1"/>
  <c r="CD179" i="1"/>
  <c r="AT179" i="1"/>
  <c r="AS179" i="1"/>
  <c r="AO179" i="1"/>
  <c r="AG179" i="1"/>
  <c r="S179" i="1"/>
  <c r="AC179" i="1"/>
  <c r="Y179" i="1"/>
  <c r="O179" i="1"/>
  <c r="R179" i="1"/>
  <c r="BA179" i="1"/>
  <c r="AZ179" i="1"/>
  <c r="Z179" i="1"/>
  <c r="AD179" i="1"/>
  <c r="AH179" i="1"/>
  <c r="BE179" i="1"/>
  <c r="BD179" i="1"/>
  <c r="AP179" i="1"/>
  <c r="N179" i="1"/>
  <c r="V178" i="1"/>
  <c r="CL116" i="1"/>
  <c r="AT116" i="1"/>
  <c r="AS116" i="1"/>
  <c r="CM116" i="1"/>
  <c r="BI116" i="1"/>
  <c r="BD116" i="1"/>
  <c r="BH116" i="1"/>
  <c r="BE116" i="1"/>
  <c r="AP116" i="1"/>
  <c r="AN116" i="1"/>
  <c r="AN180" i="1" s="1"/>
  <c r="BP116" i="1"/>
  <c r="BW116" i="1" s="1"/>
  <c r="BO116" i="1"/>
  <c r="BA116" i="1"/>
  <c r="AZ116" i="1"/>
  <c r="CT116" i="1"/>
  <c r="DA116" i="1" s="1"/>
  <c r="CS116" i="1"/>
  <c r="CA116" i="1"/>
  <c r="BZ116" i="1"/>
  <c r="AH116" i="1"/>
  <c r="CE116" i="1"/>
  <c r="CD116" i="1"/>
  <c r="R116" i="1"/>
  <c r="AD116" i="1"/>
  <c r="AC116" i="1"/>
  <c r="AG116" i="1"/>
  <c r="Z116" i="1"/>
  <c r="Y116" i="1"/>
  <c r="S116" i="1"/>
  <c r="O116" i="1"/>
  <c r="DZ116" i="1"/>
  <c r="N116" i="1"/>
  <c r="AO116" i="1"/>
  <c r="A117" i="1"/>
  <c r="A180" i="1"/>
  <c r="AW115" i="1"/>
  <c r="V115" i="1"/>
  <c r="AW178" i="1"/>
  <c r="Y279" i="1"/>
  <c r="AK279" i="1"/>
  <c r="AO279" i="1"/>
  <c r="AS279" i="1"/>
  <c r="CT279" i="1"/>
  <c r="R279" i="1"/>
  <c r="N279" i="1"/>
  <c r="V278" i="1"/>
  <c r="AP279" i="1"/>
  <c r="O279" i="1"/>
  <c r="Z279" i="1"/>
  <c r="S279" i="1"/>
  <c r="AT279" i="1"/>
  <c r="A280" i="1"/>
  <c r="DZ279" i="1"/>
  <c r="DD117" i="1" l="1"/>
  <c r="DE117" i="1"/>
  <c r="DC117" i="1"/>
  <c r="BL116" i="1"/>
  <c r="BL179" i="1"/>
  <c r="DE180" i="1"/>
  <c r="DD180" i="1"/>
  <c r="CP116" i="1"/>
  <c r="DZ180" i="1"/>
  <c r="CM180" i="1"/>
  <c r="CL180" i="1"/>
  <c r="BO180" i="1"/>
  <c r="BH180" i="1"/>
  <c r="CT180" i="1"/>
  <c r="DA180" i="1" s="1"/>
  <c r="CA180" i="1"/>
  <c r="CS180" i="1"/>
  <c r="BZ180" i="1"/>
  <c r="CE180" i="1"/>
  <c r="BE180" i="1"/>
  <c r="CD180" i="1"/>
  <c r="AP180" i="1"/>
  <c r="AO180" i="1"/>
  <c r="AG180" i="1"/>
  <c r="BP180" i="1"/>
  <c r="BW180" i="1" s="1"/>
  <c r="S180" i="1"/>
  <c r="AC180" i="1"/>
  <c r="Y180" i="1"/>
  <c r="BA180" i="1"/>
  <c r="O180" i="1"/>
  <c r="R180" i="1"/>
  <c r="AZ180" i="1"/>
  <c r="BI180" i="1"/>
  <c r="Z180" i="1"/>
  <c r="AD180" i="1"/>
  <c r="AH180" i="1"/>
  <c r="BD180" i="1"/>
  <c r="N180" i="1"/>
  <c r="AT180" i="1"/>
  <c r="AS180" i="1"/>
  <c r="V179" i="1"/>
  <c r="AS117" i="1"/>
  <c r="AN117" i="1"/>
  <c r="AN181" i="1" s="1"/>
  <c r="CL117" i="1"/>
  <c r="BI117" i="1"/>
  <c r="CM117" i="1"/>
  <c r="BH117" i="1"/>
  <c r="AT117" i="1"/>
  <c r="BD117" i="1"/>
  <c r="BE117" i="1"/>
  <c r="AP117" i="1"/>
  <c r="BO117" i="1"/>
  <c r="BA117" i="1"/>
  <c r="AZ117" i="1"/>
  <c r="CT117" i="1"/>
  <c r="DA117" i="1" s="1"/>
  <c r="CS117" i="1"/>
  <c r="CA117" i="1"/>
  <c r="BZ117" i="1"/>
  <c r="AH117" i="1"/>
  <c r="CE117" i="1"/>
  <c r="AG117" i="1"/>
  <c r="CD117" i="1"/>
  <c r="BP117" i="1"/>
  <c r="BW117" i="1" s="1"/>
  <c r="AD117" i="1"/>
  <c r="AC117" i="1"/>
  <c r="Z117" i="1"/>
  <c r="Y117" i="1"/>
  <c r="S117" i="1"/>
  <c r="R117" i="1"/>
  <c r="O117" i="1"/>
  <c r="DZ117" i="1"/>
  <c r="V116" i="1"/>
  <c r="A181" i="1"/>
  <c r="AW179" i="1"/>
  <c r="N117" i="1"/>
  <c r="AO117" i="1"/>
  <c r="AW116" i="1"/>
  <c r="Y280" i="1"/>
  <c r="AK280" i="1"/>
  <c r="AO280" i="1"/>
  <c r="AS280" i="1"/>
  <c r="CT280" i="1"/>
  <c r="R280" i="1"/>
  <c r="N280" i="1"/>
  <c r="V279" i="1"/>
  <c r="Z280" i="1"/>
  <c r="O280" i="1"/>
  <c r="S280" i="1"/>
  <c r="AT280" i="1"/>
  <c r="AP280" i="1"/>
  <c r="A281" i="1"/>
  <c r="DZ280" i="1"/>
  <c r="DX116" i="1" l="1"/>
  <c r="EB116" i="1" s="1"/>
  <c r="BL117" i="1"/>
  <c r="BL180" i="1"/>
  <c r="DE181" i="1"/>
  <c r="DD181" i="1"/>
  <c r="CP117" i="1"/>
  <c r="CP180" i="1"/>
  <c r="V180" i="1"/>
  <c r="DZ181" i="1"/>
  <c r="CM181" i="1"/>
  <c r="CL181" i="1"/>
  <c r="AZ181" i="1"/>
  <c r="CT181" i="1"/>
  <c r="DA181" i="1" s="1"/>
  <c r="CA181" i="1"/>
  <c r="CS181" i="1"/>
  <c r="BZ181" i="1"/>
  <c r="CE181" i="1"/>
  <c r="CD181" i="1"/>
  <c r="BP181" i="1"/>
  <c r="BW181" i="1" s="1"/>
  <c r="BI181" i="1"/>
  <c r="BO181" i="1"/>
  <c r="AG181" i="1"/>
  <c r="AC181" i="1"/>
  <c r="S181" i="1"/>
  <c r="AP181" i="1"/>
  <c r="BA181" i="1"/>
  <c r="Y181" i="1"/>
  <c r="O181" i="1"/>
  <c r="R181" i="1"/>
  <c r="BH181" i="1"/>
  <c r="Z181" i="1"/>
  <c r="AD181" i="1"/>
  <c r="AH181" i="1"/>
  <c r="BE181" i="1"/>
  <c r="BD181" i="1"/>
  <c r="AT181" i="1"/>
  <c r="AS181" i="1"/>
  <c r="N181" i="1"/>
  <c r="AO181" i="1"/>
  <c r="V117" i="1"/>
  <c r="AW180" i="1"/>
  <c r="AW117" i="1"/>
  <c r="Y281" i="1"/>
  <c r="R281" i="1"/>
  <c r="AK281" i="1"/>
  <c r="AO281" i="1"/>
  <c r="AS281" i="1"/>
  <c r="CT281" i="1"/>
  <c r="N281" i="1"/>
  <c r="Z281" i="1"/>
  <c r="AL281" i="1"/>
  <c r="O281" i="1"/>
  <c r="S281" i="1"/>
  <c r="AT281" i="1"/>
  <c r="AP281" i="1"/>
  <c r="V280" i="1"/>
  <c r="A282" i="1"/>
  <c r="DZ281" i="1"/>
  <c r="DX180" i="1" l="1"/>
  <c r="EB180" i="1" s="1"/>
  <c r="DX117" i="1"/>
  <c r="EB117" i="1" s="1"/>
  <c r="BL181" i="1"/>
  <c r="CP181" i="1"/>
  <c r="V181" i="1"/>
  <c r="AW181" i="1"/>
  <c r="AK282" i="1"/>
  <c r="CT282" i="1"/>
  <c r="R282" i="1"/>
  <c r="N282" i="1"/>
  <c r="AO282" i="1"/>
  <c r="AS282" i="1"/>
  <c r="Y282" i="1"/>
  <c r="V281" i="1"/>
  <c r="AL282" i="1"/>
  <c r="S282" i="1"/>
  <c r="AT282" i="1"/>
  <c r="O282" i="1"/>
  <c r="AP282" i="1"/>
  <c r="Z282" i="1"/>
  <c r="A283" i="1"/>
  <c r="DZ282" i="1"/>
  <c r="DX181" i="1" l="1"/>
  <c r="EB181" i="1" s="1"/>
  <c r="N283" i="1"/>
  <c r="AO283" i="1"/>
  <c r="AS283" i="1"/>
  <c r="CT283" i="1"/>
  <c r="Y283" i="1"/>
  <c r="R283" i="1"/>
  <c r="AK283" i="1"/>
  <c r="V282" i="1"/>
  <c r="AL283" i="1"/>
  <c r="S283" i="1"/>
  <c r="AT283" i="1"/>
  <c r="AP283" i="1"/>
  <c r="O283" i="1"/>
  <c r="Z283" i="1"/>
  <c r="A284" i="1"/>
  <c r="DZ283" i="1"/>
  <c r="AO284" i="1" l="1"/>
  <c r="AS284" i="1"/>
  <c r="N284" i="1"/>
  <c r="R284" i="1"/>
  <c r="CT284" i="1"/>
  <c r="AK284" i="1"/>
  <c r="Y284" i="1"/>
  <c r="S284" i="1"/>
  <c r="AT284" i="1"/>
  <c r="AP284" i="1"/>
  <c r="Z284" i="1"/>
  <c r="O284" i="1"/>
  <c r="AL284" i="1"/>
  <c r="V283" i="1"/>
  <c r="A285" i="1"/>
  <c r="DZ284" i="1"/>
  <c r="AS285" i="1" l="1"/>
  <c r="CT285" i="1"/>
  <c r="AK285" i="1"/>
  <c r="N285" i="1"/>
  <c r="AO285" i="1"/>
  <c r="R285" i="1"/>
  <c r="Y285" i="1"/>
  <c r="AT285" i="1"/>
  <c r="AP285" i="1"/>
  <c r="Z285" i="1"/>
  <c r="AL285" i="1"/>
  <c r="S285" i="1"/>
  <c r="O285" i="1"/>
  <c r="V284" i="1"/>
  <c r="A286" i="1"/>
  <c r="DZ285" i="1"/>
  <c r="AS286" i="1" l="1"/>
  <c r="AK286" i="1"/>
  <c r="AO286" i="1"/>
  <c r="N286" i="1"/>
  <c r="R286" i="1"/>
  <c r="CT286" i="1"/>
  <c r="Y286" i="1"/>
  <c r="AP286" i="1"/>
  <c r="Z286" i="1"/>
  <c r="AL286" i="1"/>
  <c r="AT286" i="1"/>
  <c r="O286" i="1"/>
  <c r="S286" i="1"/>
  <c r="V285" i="1"/>
  <c r="A287" i="1"/>
  <c r="DZ286" i="1"/>
  <c r="CT287" i="1" l="1"/>
  <c r="AK287" i="1"/>
  <c r="AO287" i="1"/>
  <c r="AS287" i="1"/>
  <c r="R287" i="1"/>
  <c r="N287" i="1"/>
  <c r="Y287" i="1"/>
  <c r="V286" i="1"/>
  <c r="AP287" i="1"/>
  <c r="O287" i="1"/>
  <c r="BE287" i="1"/>
  <c r="BI287" i="1"/>
  <c r="Z287" i="1"/>
  <c r="AL287" i="1"/>
  <c r="S287" i="1"/>
  <c r="AT287" i="1"/>
  <c r="A288" i="1"/>
  <c r="DZ287" i="1"/>
  <c r="CT288" i="1" l="1"/>
  <c r="Y288" i="1"/>
  <c r="AK288" i="1"/>
  <c r="AO288" i="1"/>
  <c r="AS288" i="1"/>
  <c r="R288" i="1"/>
  <c r="N288" i="1"/>
  <c r="V287" i="1"/>
  <c r="BE288" i="1"/>
  <c r="BI288" i="1"/>
  <c r="Z288" i="1"/>
  <c r="O288" i="1"/>
  <c r="AL288" i="1"/>
  <c r="S288" i="1"/>
  <c r="AT288" i="1"/>
  <c r="AP288" i="1"/>
  <c r="A289" i="1"/>
  <c r="DZ288" i="1"/>
  <c r="CT289" i="1" l="1"/>
  <c r="AK289" i="1"/>
  <c r="AO289" i="1"/>
  <c r="AS289" i="1"/>
  <c r="R289" i="1"/>
  <c r="N289" i="1"/>
  <c r="CX289" i="1"/>
  <c r="Y289" i="1"/>
  <c r="V288" i="1"/>
  <c r="BI289" i="1"/>
  <c r="Z289" i="1"/>
  <c r="AL289" i="1"/>
  <c r="O289" i="1"/>
  <c r="S289" i="1"/>
  <c r="AT289" i="1"/>
  <c r="AP289" i="1"/>
  <c r="BE289" i="1"/>
  <c r="A290" i="1"/>
  <c r="DZ289" i="1"/>
  <c r="DA289" i="1" l="1"/>
  <c r="CT290" i="1"/>
  <c r="Y290" i="1"/>
  <c r="CX290" i="1"/>
  <c r="AO290" i="1"/>
  <c r="AS290" i="1"/>
  <c r="N290" i="1"/>
  <c r="R290" i="1"/>
  <c r="AK290" i="1"/>
  <c r="AL290" i="1"/>
  <c r="S290" i="1"/>
  <c r="AT290" i="1"/>
  <c r="O290" i="1"/>
  <c r="AP290" i="1"/>
  <c r="BE290" i="1"/>
  <c r="BI290" i="1"/>
  <c r="Z290" i="1"/>
  <c r="V289" i="1"/>
  <c r="A291" i="1"/>
  <c r="DZ290" i="1"/>
  <c r="DA290" i="1" l="1"/>
  <c r="AS291" i="1"/>
  <c r="CX291" i="1"/>
  <c r="CT291" i="1"/>
  <c r="AK291" i="1"/>
  <c r="R291" i="1"/>
  <c r="AO291" i="1"/>
  <c r="Y291" i="1"/>
  <c r="N291" i="1"/>
  <c r="V290" i="1"/>
  <c r="AL291" i="1"/>
  <c r="S291" i="1"/>
  <c r="AT291" i="1"/>
  <c r="AP291" i="1"/>
  <c r="O291" i="1"/>
  <c r="BE291" i="1"/>
  <c r="BI291" i="1"/>
  <c r="Z291" i="1"/>
  <c r="A292" i="1"/>
  <c r="DZ291" i="1"/>
  <c r="DQ292" i="1" l="1"/>
  <c r="DA291" i="1"/>
  <c r="AP81" i="1"/>
  <c r="AO292" i="1"/>
  <c r="CT292" i="1"/>
  <c r="AK292" i="1"/>
  <c r="AS292" i="1"/>
  <c r="CX292" i="1"/>
  <c r="N292" i="1"/>
  <c r="Y292" i="1"/>
  <c r="R292" i="1"/>
  <c r="V291" i="1"/>
  <c r="S292" i="1"/>
  <c r="AT292" i="1"/>
  <c r="AP292" i="1"/>
  <c r="BE292" i="1"/>
  <c r="BI292" i="1"/>
  <c r="Z292" i="1"/>
  <c r="O292" i="1"/>
  <c r="AL292" i="1"/>
  <c r="A293" i="1"/>
  <c r="DZ292" i="1"/>
  <c r="DQ293" i="1" l="1"/>
  <c r="DA292" i="1"/>
  <c r="CT155" i="1"/>
  <c r="DA155" i="1" s="1"/>
  <c r="CT154" i="1"/>
  <c r="DA154" i="1" s="1"/>
  <c r="AP145" i="1"/>
  <c r="AK293" i="1"/>
  <c r="CX293" i="1"/>
  <c r="AO293" i="1"/>
  <c r="AS293" i="1"/>
  <c r="CT293" i="1"/>
  <c r="Y293" i="1"/>
  <c r="N293" i="1"/>
  <c r="R293" i="1"/>
  <c r="AT293" i="1"/>
  <c r="AP293" i="1"/>
  <c r="BE293" i="1"/>
  <c r="BI293" i="1"/>
  <c r="Z293" i="1"/>
  <c r="AL293" i="1"/>
  <c r="O293" i="1"/>
  <c r="S293" i="1"/>
  <c r="V292" i="1"/>
  <c r="A294" i="1"/>
  <c r="DZ293" i="1"/>
  <c r="DQ294" i="1" l="1"/>
  <c r="DA293" i="1"/>
  <c r="CX294" i="1"/>
  <c r="AK294" i="1"/>
  <c r="CT294" i="1"/>
  <c r="AO294" i="1"/>
  <c r="AS294" i="1"/>
  <c r="Y294" i="1"/>
  <c r="N294" i="1"/>
  <c r="R294" i="1"/>
  <c r="AP294" i="1"/>
  <c r="BT294" i="1"/>
  <c r="BE294" i="1"/>
  <c r="BI294" i="1"/>
  <c r="Z294" i="1"/>
  <c r="AL294" i="1"/>
  <c r="AT294" i="1"/>
  <c r="O294" i="1"/>
  <c r="S294" i="1"/>
  <c r="V293" i="1"/>
  <c r="A295" i="1"/>
  <c r="DZ294" i="1"/>
  <c r="DQ295" i="1" l="1"/>
  <c r="DA294" i="1"/>
  <c r="Y295" i="1"/>
  <c r="AK295" i="1"/>
  <c r="AO295" i="1"/>
  <c r="AS295" i="1"/>
  <c r="CX295" i="1"/>
  <c r="CT295" i="1"/>
  <c r="N295" i="1"/>
  <c r="R295" i="1"/>
  <c r="V294" i="1"/>
  <c r="AP295" i="1"/>
  <c r="O295" i="1"/>
  <c r="BT295" i="1"/>
  <c r="BE295" i="1"/>
  <c r="BI295" i="1"/>
  <c r="Z295" i="1"/>
  <c r="AL295" i="1"/>
  <c r="S295" i="1"/>
  <c r="AT295" i="1"/>
  <c r="DZ295" i="1"/>
  <c r="DA295" i="1" l="1"/>
  <c r="V295" i="1"/>
  <c r="AN96" i="6" l="1"/>
  <c r="AN95" i="6"/>
  <c r="A75" i="6"/>
  <c r="A74" i="6"/>
  <c r="A95" i="6" s="1"/>
  <c r="A73" i="6"/>
  <c r="A72" i="6"/>
  <c r="A71" i="6"/>
  <c r="A70" i="6"/>
  <c r="A69" i="6"/>
  <c r="A68" i="6"/>
  <c r="BY69" i="1" l="1"/>
  <c r="CC69" i="1"/>
  <c r="AV68" i="1"/>
  <c r="DW68" i="1" s="1"/>
  <c r="AV61" i="1"/>
  <c r="AV58" i="1"/>
  <c r="A72" i="1" s="1"/>
  <c r="A5" i="6" s="1"/>
  <c r="AV53" i="1"/>
  <c r="DW53" i="1" s="1"/>
  <c r="AB69" i="1"/>
  <c r="U8" i="1"/>
  <c r="Q8" i="1"/>
  <c r="M8" i="1"/>
  <c r="X69" i="1"/>
  <c r="Q69" i="1"/>
  <c r="M69" i="1"/>
  <c r="U68" i="1"/>
  <c r="U67" i="1"/>
  <c r="EA67" i="1" s="1"/>
  <c r="D12" i="12" s="1"/>
  <c r="F44" i="8" l="1"/>
  <c r="F45" i="8"/>
  <c r="F46" i="8"/>
  <c r="EA53" i="1"/>
  <c r="F10" i="8"/>
  <c r="CO69" i="1"/>
  <c r="C67" i="2"/>
  <c r="AJ69" i="1"/>
  <c r="BN69" i="1"/>
  <c r="AV69" i="1"/>
  <c r="U69" i="1"/>
  <c r="AR69" i="1" l="1"/>
  <c r="BC69" i="1"/>
  <c r="BG69" i="1"/>
  <c r="BR69" i="1"/>
  <c r="BV69" i="1" s="1"/>
  <c r="E62" i="2"/>
  <c r="AY69" i="1" l="1"/>
  <c r="BK69" i="1" s="1"/>
  <c r="A1" i="2" l="1"/>
  <c r="B1" i="2" s="1"/>
  <c r="C1" i="2" s="1"/>
  <c r="D1" i="2" s="1"/>
  <c r="B1" i="8"/>
  <c r="C1" i="8" s="1"/>
  <c r="D1" i="8" s="1"/>
  <c r="AP57" i="6"/>
  <c r="AP58" i="6" s="1"/>
  <c r="AP59" i="6" s="1"/>
  <c r="AP60" i="6" s="1"/>
  <c r="AP61" i="6" s="1"/>
  <c r="C1" i="6"/>
  <c r="D1" i="6" s="1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AG1" i="6" s="1"/>
  <c r="AH1" i="6" s="1"/>
  <c r="AI1" i="6" s="1"/>
  <c r="AJ1" i="6" s="1"/>
  <c r="AK1" i="6" s="1"/>
  <c r="AL1" i="6" s="1"/>
  <c r="AM1" i="6" s="1"/>
  <c r="A6" i="1"/>
  <c r="B6" i="1" s="1"/>
  <c r="C6" i="1" s="1"/>
  <c r="D6" i="1" s="1"/>
  <c r="E6" i="1" s="1"/>
  <c r="F6" i="1" s="1"/>
  <c r="G6" i="1" s="1"/>
  <c r="H6" i="1" s="1"/>
  <c r="I6" i="1" s="1"/>
  <c r="J6" i="1" s="1"/>
  <c r="AN89" i="6"/>
  <c r="AN90" i="6"/>
  <c r="AN91" i="6"/>
  <c r="AN92" i="6"/>
  <c r="AN93" i="6"/>
  <c r="AP115" i="6"/>
  <c r="AP116" i="6" s="1"/>
  <c r="AP117" i="6" s="1"/>
  <c r="AP118" i="6" s="1"/>
  <c r="AP119" i="6" s="1"/>
  <c r="AP120" i="6" s="1"/>
  <c r="AP121" i="6" s="1"/>
  <c r="AP122" i="6" s="1"/>
  <c r="AP123" i="6" s="1"/>
  <c r="AP124" i="6" s="1"/>
  <c r="AP125" i="6" s="1"/>
  <c r="AP126" i="6" s="1"/>
  <c r="A1" i="9"/>
  <c r="B1" i="10"/>
  <c r="C1" i="10" s="1"/>
  <c r="D1" i="10" s="1"/>
  <c r="M9" i="2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B1" i="11"/>
  <c r="C1" i="11" s="1"/>
  <c r="D1" i="11" s="1"/>
  <c r="E1" i="11" s="1"/>
  <c r="F1" i="11" s="1"/>
  <c r="G1" i="11" s="1"/>
  <c r="AP9" i="6"/>
  <c r="B1" i="5"/>
  <c r="C1" i="5" s="1"/>
  <c r="D1" i="5" s="1"/>
  <c r="AO172" i="6"/>
  <c r="AP67" i="6"/>
  <c r="AP68" i="6" s="1"/>
  <c r="AP69" i="6" s="1"/>
  <c r="AP70" i="6" s="1"/>
  <c r="AP71" i="6" s="1"/>
  <c r="AP72" i="6" s="1"/>
  <c r="AP73" i="6" s="1"/>
  <c r="AP74" i="6" s="1"/>
  <c r="AP75" i="6" s="1"/>
  <c r="AP76" i="6" s="1"/>
  <c r="A96" i="6"/>
  <c r="A93" i="6"/>
  <c r="A92" i="6"/>
  <c r="A91" i="6"/>
  <c r="A90" i="6"/>
  <c r="A89" i="6"/>
  <c r="A94" i="6"/>
  <c r="G9" i="2"/>
  <c r="G12" i="1" s="1"/>
  <c r="A1" i="12"/>
  <c r="B1" i="12" s="1"/>
  <c r="C1" i="12" s="1"/>
  <c r="D1" i="12" s="1"/>
  <c r="E1" i="12" s="1"/>
  <c r="F1" i="12" s="1"/>
  <c r="G1" i="12" s="1"/>
  <c r="H1" i="12" s="1"/>
  <c r="I1" i="12" s="1"/>
  <c r="J1" i="12" s="1"/>
  <c r="K1" i="12" s="1"/>
  <c r="L1" i="12" s="1"/>
  <c r="A10" i="12"/>
  <c r="A6" i="9"/>
  <c r="B1" i="9" l="1"/>
  <c r="C1" i="9" s="1"/>
  <c r="D1" i="9" s="1"/>
  <c r="E1" i="9" s="1"/>
  <c r="F1" i="9" s="1"/>
  <c r="G1" i="9" s="1"/>
  <c r="H1" i="9" s="1"/>
  <c r="I1" i="9" s="1"/>
  <c r="J1" i="9" s="1"/>
  <c r="K1" i="9" s="1"/>
  <c r="L1" i="9" s="1"/>
  <c r="AP10" i="6"/>
  <c r="AP11" i="6" s="1"/>
  <c r="AP12" i="6" s="1"/>
  <c r="AP13" i="6" s="1"/>
  <c r="AP14" i="6" s="1"/>
  <c r="AP15" i="6" s="1"/>
  <c r="AP16" i="6" s="1"/>
  <c r="AP17" i="6" s="1"/>
  <c r="AP18" i="6" s="1"/>
  <c r="AP19" i="6" s="1"/>
  <c r="AP20" i="6" s="1"/>
  <c r="AP21" i="6" s="1"/>
  <c r="AP22" i="6" s="1"/>
  <c r="AP23" i="6" s="1"/>
  <c r="AP24" i="6" s="1"/>
  <c r="AP25" i="6" s="1"/>
  <c r="AP26" i="6" s="1"/>
  <c r="AP27" i="6" s="1"/>
  <c r="AP28" i="6" s="1"/>
  <c r="AP29" i="6" s="1"/>
  <c r="AP30" i="6" s="1"/>
  <c r="AP31" i="6" s="1"/>
  <c r="AP32" i="6" s="1"/>
  <c r="AP33" i="6" s="1"/>
  <c r="AP34" i="6" s="1"/>
  <c r="AP35" i="6" s="1"/>
  <c r="AP36" i="6" s="1"/>
  <c r="AP37" i="6" s="1"/>
  <c r="AP38" i="6" s="1"/>
  <c r="AP39" i="6" s="1"/>
  <c r="AP40" i="6" s="1"/>
  <c r="AP41" i="6" s="1"/>
  <c r="AP42" i="6" s="1"/>
  <c r="H9" i="2"/>
  <c r="H12" i="1" s="1"/>
  <c r="H11" i="1"/>
  <c r="F9" i="2"/>
  <c r="F11" i="1"/>
  <c r="K6" i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O9" i="2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E1" i="8"/>
  <c r="F1" i="8" s="1"/>
  <c r="G1" i="8" s="1"/>
  <c r="H1" i="8" s="1"/>
  <c r="E1" i="2"/>
  <c r="F1" i="2" s="1"/>
  <c r="G1" i="2" s="1"/>
  <c r="G10" i="2"/>
  <c r="G13" i="1" s="1"/>
  <c r="A9" i="2"/>
  <c r="A11" i="8" s="1"/>
  <c r="F11" i="8" s="1"/>
  <c r="A8" i="11"/>
  <c r="A12" i="12"/>
  <c r="A8" i="10"/>
  <c r="A8" i="9"/>
  <c r="A11" i="6"/>
  <c r="AN107" i="6"/>
  <c r="H10" i="2" l="1"/>
  <c r="H13" i="1" s="1"/>
  <c r="AP90" i="6"/>
  <c r="AP91" i="6" s="1"/>
  <c r="AP92" i="6" s="1"/>
  <c r="AP93" i="6" s="1"/>
  <c r="AP94" i="6" s="1"/>
  <c r="AP95" i="6" s="1"/>
  <c r="AP96" i="6" s="1"/>
  <c r="AP97" i="6" s="1"/>
  <c r="AP98" i="6" s="1"/>
  <c r="AP106" i="6" s="1"/>
  <c r="AP107" i="6" s="1"/>
  <c r="AP108" i="6" s="1"/>
  <c r="AP109" i="6" s="1"/>
  <c r="AP110" i="6" s="1"/>
  <c r="AP111" i="6" s="1"/>
  <c r="DC145" i="1"/>
  <c r="DH11" i="1"/>
  <c r="DG11" i="1"/>
  <c r="DT11" i="1"/>
  <c r="DU11" i="1"/>
  <c r="DS11" i="1"/>
  <c r="A132" i="6"/>
  <c r="CG11" i="1"/>
  <c r="BO11" i="1"/>
  <c r="CK11" i="1"/>
  <c r="BH11" i="1"/>
  <c r="BG81" i="1"/>
  <c r="BC81" i="1"/>
  <c r="CS11" i="1"/>
  <c r="CH11" i="1"/>
  <c r="BD11" i="1"/>
  <c r="AZ11" i="1"/>
  <c r="AY11" i="1"/>
  <c r="CL11" i="1"/>
  <c r="F10" i="2"/>
  <c r="F12" i="1"/>
  <c r="AR11" i="1"/>
  <c r="AR81" i="1" s="1"/>
  <c r="AG11" i="1"/>
  <c r="AJ11" i="1"/>
  <c r="AF11" i="1"/>
  <c r="AF81" i="1" s="1"/>
  <c r="AF145" i="1" s="1"/>
  <c r="AC11" i="1"/>
  <c r="BR11" i="1"/>
  <c r="CW11" i="1"/>
  <c r="CV11" i="1"/>
  <c r="CZ11" i="1" s="1"/>
  <c r="Y11" i="1"/>
  <c r="N11" i="1"/>
  <c r="AB11" i="1"/>
  <c r="AB81" i="1" s="1"/>
  <c r="AB145" i="1" s="1"/>
  <c r="BS11" i="1"/>
  <c r="AK11" i="1"/>
  <c r="R11" i="1"/>
  <c r="CD11" i="1"/>
  <c r="N1" i="9"/>
  <c r="O1" i="9" s="1"/>
  <c r="P1" i="9" s="1"/>
  <c r="Q1" i="9" s="1"/>
  <c r="R1" i="9" s="1"/>
  <c r="M1" i="9"/>
  <c r="O10" i="2"/>
  <c r="BZ11" i="1"/>
  <c r="BY11" i="1"/>
  <c r="BY81" i="1" s="1"/>
  <c r="BY145" i="1" s="1"/>
  <c r="G11" i="2"/>
  <c r="G14" i="1" s="1"/>
  <c r="H11" i="2"/>
  <c r="H14" i="1" s="1"/>
  <c r="H1" i="2"/>
  <c r="I1" i="2" s="1"/>
  <c r="J1" i="2" s="1"/>
  <c r="A9" i="9"/>
  <c r="A13" i="12"/>
  <c r="A10" i="2"/>
  <c r="A12" i="8" s="1"/>
  <c r="F12" i="8" s="1"/>
  <c r="A9" i="10"/>
  <c r="A9" i="11"/>
  <c r="AN11" i="1"/>
  <c r="DZ11" i="1"/>
  <c r="A12" i="1"/>
  <c r="A12" i="6"/>
  <c r="DO12" i="1" l="1"/>
  <c r="DQ12" i="1"/>
  <c r="DK12" i="1"/>
  <c r="DP12" i="1"/>
  <c r="DC12" i="1"/>
  <c r="DD12" i="1"/>
  <c r="AY81" i="1"/>
  <c r="BK11" i="1"/>
  <c r="BQ6" i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Q81" i="1"/>
  <c r="Q145" i="1" s="1"/>
  <c r="U11" i="1"/>
  <c r="AR145" i="1"/>
  <c r="BC145" i="1"/>
  <c r="BG145" i="1"/>
  <c r="CK81" i="1"/>
  <c r="CK145" i="1" s="1"/>
  <c r="AV11" i="1"/>
  <c r="CO11" i="1"/>
  <c r="DT12" i="1"/>
  <c r="DU12" i="1"/>
  <c r="DG12" i="1"/>
  <c r="DC146" i="1"/>
  <c r="DS12" i="1"/>
  <c r="DU206" i="1"/>
  <c r="DT206" i="1"/>
  <c r="DH206" i="1"/>
  <c r="A133" i="6"/>
  <c r="BN12" i="1"/>
  <c r="CW206" i="1"/>
  <c r="CS206" i="1"/>
  <c r="AO206" i="1"/>
  <c r="AK206" i="1"/>
  <c r="AG206" i="1"/>
  <c r="AS206" i="1"/>
  <c r="Y206" i="1"/>
  <c r="R206" i="1"/>
  <c r="N206" i="1"/>
  <c r="AC206" i="1"/>
  <c r="BO12" i="1"/>
  <c r="AY12" i="1"/>
  <c r="CK12" i="1"/>
  <c r="BG82" i="1"/>
  <c r="BG146" i="1" s="1"/>
  <c r="BC82" i="1"/>
  <c r="BC146" i="1" s="1"/>
  <c r="CS12" i="1"/>
  <c r="AZ12" i="1"/>
  <c r="AR12" i="1"/>
  <c r="AR82" i="1" s="1"/>
  <c r="AR146" i="1" s="1"/>
  <c r="F11" i="2"/>
  <c r="F13" i="1"/>
  <c r="AJ12" i="1"/>
  <c r="AB12" i="1"/>
  <c r="AB82" i="1" s="1"/>
  <c r="AB146" i="1" s="1"/>
  <c r="Y12" i="1"/>
  <c r="CV12" i="1"/>
  <c r="CZ12" i="1" s="1"/>
  <c r="AG12" i="1"/>
  <c r="AF12" i="1"/>
  <c r="AF82" i="1" s="1"/>
  <c r="AF146" i="1" s="1"/>
  <c r="M82" i="1"/>
  <c r="AC12" i="1"/>
  <c r="BR12" i="1"/>
  <c r="R12" i="1"/>
  <c r="Q82" i="1"/>
  <c r="Q146" i="1" s="1"/>
  <c r="N12" i="1"/>
  <c r="CD12" i="1"/>
  <c r="O11" i="2"/>
  <c r="BZ12" i="1"/>
  <c r="BY12" i="1"/>
  <c r="BY82" i="1" s="1"/>
  <c r="BY146" i="1" s="1"/>
  <c r="G12" i="2"/>
  <c r="G15" i="1" s="1"/>
  <c r="K1" i="2"/>
  <c r="L1" i="2" s="1"/>
  <c r="M1" i="2" s="1"/>
  <c r="H12" i="2"/>
  <c r="H15" i="1" s="1"/>
  <c r="D2" i="6"/>
  <c r="A10" i="10"/>
  <c r="A10" i="11"/>
  <c r="A14" i="12"/>
  <c r="A11" i="2"/>
  <c r="A13" i="8" s="1"/>
  <c r="F13" i="8" s="1"/>
  <c r="A10" i="9"/>
  <c r="AP265" i="1"/>
  <c r="O265" i="1"/>
  <c r="S265" i="1"/>
  <c r="A207" i="1"/>
  <c r="DZ206" i="1"/>
  <c r="AN12" i="1"/>
  <c r="A13" i="1"/>
  <c r="DZ12" i="1"/>
  <c r="A13" i="6"/>
  <c r="C114" i="6"/>
  <c r="C56" i="6"/>
  <c r="C66" i="6"/>
  <c r="C129" i="6"/>
  <c r="C171" i="6"/>
  <c r="M146" i="1" l="1"/>
  <c r="DK13" i="1"/>
  <c r="DO13" i="1"/>
  <c r="D8" i="6"/>
  <c r="D11" i="6" s="1"/>
  <c r="DQ207" i="1"/>
  <c r="DD13" i="1"/>
  <c r="DC13" i="1"/>
  <c r="AY82" i="1"/>
  <c r="BK12" i="1"/>
  <c r="AY145" i="1"/>
  <c r="BK145" i="1" s="1"/>
  <c r="BK81" i="1"/>
  <c r="X82" i="1"/>
  <c r="CO145" i="1"/>
  <c r="CO81" i="1"/>
  <c r="BN82" i="1"/>
  <c r="BV12" i="1"/>
  <c r="CK82" i="1"/>
  <c r="CK146" i="1" s="1"/>
  <c r="CO146" i="1" s="1"/>
  <c r="AV12" i="1"/>
  <c r="CO12" i="1"/>
  <c r="DU207" i="1"/>
  <c r="DS13" i="1"/>
  <c r="DT13" i="1"/>
  <c r="DU13" i="1"/>
  <c r="DG13" i="1"/>
  <c r="DC147" i="1"/>
  <c r="A134" i="6"/>
  <c r="U145" i="1"/>
  <c r="U81" i="1"/>
  <c r="AV145" i="1"/>
  <c r="AV81" i="1"/>
  <c r="BG83" i="1"/>
  <c r="BG147" i="1" s="1"/>
  <c r="BC83" i="1"/>
  <c r="BC147" i="1" s="1"/>
  <c r="AZ13" i="1"/>
  <c r="AY13" i="1"/>
  <c r="CK83" i="1"/>
  <c r="CK147" i="1" s="1"/>
  <c r="BN13" i="1"/>
  <c r="CS13" i="1"/>
  <c r="CR13" i="1"/>
  <c r="CR83" i="1" s="1"/>
  <c r="CR147" i="1" s="1"/>
  <c r="BO13" i="1"/>
  <c r="AO207" i="1"/>
  <c r="F12" i="2"/>
  <c r="F14" i="1"/>
  <c r="AR13" i="1"/>
  <c r="AR83" i="1" s="1"/>
  <c r="AR147" i="1" s="1"/>
  <c r="CD13" i="1"/>
  <c r="Q83" i="1"/>
  <c r="Q147" i="1" s="1"/>
  <c r="CV13" i="1"/>
  <c r="Y13" i="1"/>
  <c r="AJ13" i="1"/>
  <c r="X83" i="1"/>
  <c r="X147" i="1" s="1"/>
  <c r="AG13" i="1"/>
  <c r="AF13" i="1"/>
  <c r="AF83" i="1" s="1"/>
  <c r="AF147" i="1" s="1"/>
  <c r="AC13" i="1"/>
  <c r="AB13" i="1"/>
  <c r="AB83" i="1" s="1"/>
  <c r="AB147" i="1" s="1"/>
  <c r="M13" i="1"/>
  <c r="M83" i="1" s="1"/>
  <c r="M147" i="1" s="1"/>
  <c r="N13" i="1"/>
  <c r="BR13" i="1"/>
  <c r="R13" i="1"/>
  <c r="O12" i="2"/>
  <c r="CF6" i="1"/>
  <c r="CG6" i="1" s="1"/>
  <c r="CC13" i="1"/>
  <c r="CC83" i="1" s="1"/>
  <c r="CC147" i="1" s="1"/>
  <c r="BZ13" i="1"/>
  <c r="BY13" i="1"/>
  <c r="BY83" i="1" s="1"/>
  <c r="BY147" i="1" s="1"/>
  <c r="C10" i="10"/>
  <c r="H13" i="2"/>
  <c r="H16" i="1" s="1"/>
  <c r="G13" i="2"/>
  <c r="G16" i="1" s="1"/>
  <c r="C9" i="10"/>
  <c r="C8" i="10"/>
  <c r="N1" i="2"/>
  <c r="O1" i="2" s="1"/>
  <c r="P1" i="2" s="1"/>
  <c r="E2" i="6"/>
  <c r="A11" i="9"/>
  <c r="A11" i="10"/>
  <c r="A11" i="11"/>
  <c r="A15" i="12"/>
  <c r="A12" i="2"/>
  <c r="A14" i="8" s="1"/>
  <c r="F14" i="8" s="1"/>
  <c r="V265" i="1"/>
  <c r="Z266" i="1"/>
  <c r="DZ207" i="1"/>
  <c r="A208" i="1"/>
  <c r="AN13" i="1"/>
  <c r="U12" i="1"/>
  <c r="A14" i="1"/>
  <c r="DZ13" i="1"/>
  <c r="A14" i="6"/>
  <c r="X146" i="1" l="1"/>
  <c r="D171" i="6"/>
  <c r="D129" i="6"/>
  <c r="D56" i="6"/>
  <c r="E8" i="6"/>
  <c r="E114" i="6" s="1"/>
  <c r="D66" i="6"/>
  <c r="D114" i="6"/>
  <c r="DW12" i="1"/>
  <c r="EA12" i="1" s="1"/>
  <c r="DO14" i="1"/>
  <c r="DK14" i="1"/>
  <c r="DD14" i="1"/>
  <c r="DC14" i="1"/>
  <c r="AY83" i="1"/>
  <c r="BK13" i="1"/>
  <c r="AY146" i="1"/>
  <c r="BK146" i="1" s="1"/>
  <c r="BK82" i="1"/>
  <c r="CO82" i="1"/>
  <c r="CZ147" i="1"/>
  <c r="BN146" i="1"/>
  <c r="BV146" i="1" s="1"/>
  <c r="BV82" i="1"/>
  <c r="BN83" i="1"/>
  <c r="BV13" i="1"/>
  <c r="CO147" i="1"/>
  <c r="CZ13" i="1"/>
  <c r="CO83" i="1"/>
  <c r="CO13" i="1"/>
  <c r="AV13" i="1"/>
  <c r="DU208" i="1"/>
  <c r="DC148" i="1"/>
  <c r="DS14" i="1"/>
  <c r="DG14" i="1"/>
  <c r="E11" i="6"/>
  <c r="E12" i="6"/>
  <c r="A135" i="6"/>
  <c r="CZ83" i="1"/>
  <c r="U82" i="1"/>
  <c r="AV146" i="1"/>
  <c r="U146" i="1"/>
  <c r="AV82" i="1"/>
  <c r="AO208" i="1"/>
  <c r="CS14" i="1"/>
  <c r="CK84" i="1"/>
  <c r="CK148" i="1" s="1"/>
  <c r="BN14" i="1"/>
  <c r="BC84" i="1"/>
  <c r="AZ14" i="1"/>
  <c r="AY14" i="1"/>
  <c r="CR14" i="1"/>
  <c r="BG14" i="1"/>
  <c r="BG84" i="1" s="1"/>
  <c r="BO14" i="1"/>
  <c r="AR14" i="1"/>
  <c r="AR84" i="1" s="1"/>
  <c r="AR148" i="1" s="1"/>
  <c r="F13" i="2"/>
  <c r="F15" i="1"/>
  <c r="CD14" i="1"/>
  <c r="N14" i="1"/>
  <c r="CV14" i="1"/>
  <c r="BR14" i="1"/>
  <c r="X84" i="1"/>
  <c r="X148" i="1" s="1"/>
  <c r="AJ14" i="1"/>
  <c r="AG14" i="1"/>
  <c r="AF14" i="1"/>
  <c r="AF84" i="1" s="1"/>
  <c r="AF148" i="1" s="1"/>
  <c r="AC14" i="1"/>
  <c r="AB14" i="1"/>
  <c r="AB84" i="1" s="1"/>
  <c r="AB148" i="1" s="1"/>
  <c r="R14" i="1"/>
  <c r="Y14" i="1"/>
  <c r="M14" i="1"/>
  <c r="M84" i="1" s="1"/>
  <c r="M148" i="1" s="1"/>
  <c r="Q14" i="1"/>
  <c r="Q84" i="1" s="1"/>
  <c r="Q148" i="1" s="1"/>
  <c r="CH6" i="1"/>
  <c r="CI6" i="1" s="1"/>
  <c r="CJ6" i="1" s="1"/>
  <c r="CK6" i="1" s="1"/>
  <c r="BO208" i="1"/>
  <c r="O13" i="2"/>
  <c r="C11" i="10"/>
  <c r="CC14" i="1"/>
  <c r="CC84" i="1" s="1"/>
  <c r="CC148" i="1" s="1"/>
  <c r="BZ14" i="1"/>
  <c r="BY14" i="1"/>
  <c r="BY84" i="1" s="1"/>
  <c r="BY148" i="1" s="1"/>
  <c r="H14" i="2"/>
  <c r="H17" i="1" s="1"/>
  <c r="G14" i="2"/>
  <c r="G17" i="1" s="1"/>
  <c r="F2" i="6"/>
  <c r="A12" i="9"/>
  <c r="A12" i="10"/>
  <c r="A16" i="12"/>
  <c r="A13" i="2"/>
  <c r="A15" i="8" s="1"/>
  <c r="F15" i="8" s="1"/>
  <c r="A12" i="11"/>
  <c r="DZ208" i="1"/>
  <c r="A209" i="1"/>
  <c r="AN14" i="1"/>
  <c r="U13" i="1"/>
  <c r="DZ14" i="1"/>
  <c r="A15" i="1"/>
  <c r="E66" i="6"/>
  <c r="E129" i="6"/>
  <c r="E56" i="6"/>
  <c r="E171" i="6"/>
  <c r="A15" i="6"/>
  <c r="F8" i="6" l="1"/>
  <c r="F11" i="6" s="1"/>
  <c r="DW146" i="1"/>
  <c r="EA146" i="1" s="1"/>
  <c r="DW13" i="1"/>
  <c r="DW82" i="1"/>
  <c r="EA82" i="1" s="1"/>
  <c r="DO15" i="1"/>
  <c r="DK15" i="1"/>
  <c r="DD15" i="1"/>
  <c r="DC15" i="1"/>
  <c r="AY84" i="1"/>
  <c r="BK14" i="1"/>
  <c r="AY147" i="1"/>
  <c r="BK147" i="1" s="1"/>
  <c r="BK83" i="1"/>
  <c r="BN84" i="1"/>
  <c r="BV14" i="1"/>
  <c r="BG148" i="1"/>
  <c r="CZ14" i="1"/>
  <c r="CR84" i="1"/>
  <c r="CR148" i="1" s="1"/>
  <c r="BN147" i="1"/>
  <c r="BV147" i="1" s="1"/>
  <c r="BV83" i="1"/>
  <c r="CO148" i="1"/>
  <c r="BC148" i="1"/>
  <c r="CO84" i="1"/>
  <c r="CO14" i="1"/>
  <c r="AV14" i="1"/>
  <c r="DG15" i="1"/>
  <c r="DC149" i="1"/>
  <c r="DS15" i="1"/>
  <c r="A136" i="6"/>
  <c r="U147" i="1"/>
  <c r="U83" i="1"/>
  <c r="AV147" i="1"/>
  <c r="AV83" i="1"/>
  <c r="AO209" i="1"/>
  <c r="BG15" i="1"/>
  <c r="BG85" i="1" s="1"/>
  <c r="BC15" i="1"/>
  <c r="BC85" i="1" s="1"/>
  <c r="BC149" i="1" s="1"/>
  <c r="AZ15" i="1"/>
  <c r="AY15" i="1"/>
  <c r="BO15" i="1"/>
  <c r="CG15" i="1"/>
  <c r="CS15" i="1"/>
  <c r="CR15" i="1"/>
  <c r="CR85" i="1" s="1"/>
  <c r="CR149" i="1" s="1"/>
  <c r="CZ149" i="1" s="1"/>
  <c r="CK85" i="1"/>
  <c r="CK149" i="1" s="1"/>
  <c r="BN15" i="1"/>
  <c r="F14" i="2"/>
  <c r="F16" i="1"/>
  <c r="AR15" i="1"/>
  <c r="AR85" i="1" s="1"/>
  <c r="CD15" i="1"/>
  <c r="CV15" i="1"/>
  <c r="BR15" i="1"/>
  <c r="AJ15" i="1"/>
  <c r="AF15" i="1"/>
  <c r="AF85" i="1" s="1"/>
  <c r="AF149" i="1" s="1"/>
  <c r="AC15" i="1"/>
  <c r="AB15" i="1"/>
  <c r="AB85" i="1" s="1"/>
  <c r="AB149" i="1" s="1"/>
  <c r="R15" i="1"/>
  <c r="Y15" i="1"/>
  <c r="AG15" i="1"/>
  <c r="N15" i="1"/>
  <c r="M15" i="1"/>
  <c r="M85" i="1" s="1"/>
  <c r="M149" i="1" s="1"/>
  <c r="X15" i="1"/>
  <c r="X85" i="1" s="1"/>
  <c r="X149" i="1" s="1"/>
  <c r="Q15" i="1"/>
  <c r="Q85" i="1" s="1"/>
  <c r="Q149" i="1" s="1"/>
  <c r="CL6" i="1"/>
  <c r="CM6" i="1" s="1"/>
  <c r="CN6" i="1" s="1"/>
  <c r="CO6" i="1" s="1"/>
  <c r="CP6" i="1" s="1"/>
  <c r="CQ6" i="1" s="1"/>
  <c r="CR6" i="1" s="1"/>
  <c r="BO209" i="1"/>
  <c r="O14" i="2"/>
  <c r="C12" i="10"/>
  <c r="BZ15" i="1"/>
  <c r="BY15" i="1"/>
  <c r="BY85" i="1" s="1"/>
  <c r="BY149" i="1" s="1"/>
  <c r="H15" i="2"/>
  <c r="H18" i="1" s="1"/>
  <c r="G15" i="2"/>
  <c r="G18" i="1" s="1"/>
  <c r="G2" i="6"/>
  <c r="A13" i="9"/>
  <c r="A13" i="10"/>
  <c r="C13" i="10" s="1"/>
  <c r="A13" i="11"/>
  <c r="A17" i="12"/>
  <c r="A14" i="2"/>
  <c r="A16" i="8" s="1"/>
  <c r="F16" i="8" s="1"/>
  <c r="A210" i="1"/>
  <c r="DZ209" i="1"/>
  <c r="CC15" i="1"/>
  <c r="CC85" i="1" s="1"/>
  <c r="CC149" i="1" s="1"/>
  <c r="AN15" i="1"/>
  <c r="U14" i="1"/>
  <c r="A16" i="1"/>
  <c r="DZ15" i="1"/>
  <c r="A16" i="6"/>
  <c r="F114" i="6"/>
  <c r="F66" i="6"/>
  <c r="F171" i="6"/>
  <c r="DW83" i="1" l="1"/>
  <c r="F13" i="6"/>
  <c r="F56" i="6"/>
  <c r="F12" i="6"/>
  <c r="F129" i="6"/>
  <c r="DW147" i="1"/>
  <c r="EA147" i="1" s="1"/>
  <c r="DK16" i="1"/>
  <c r="DO16" i="1"/>
  <c r="DW14" i="1"/>
  <c r="EA14" i="1" s="1"/>
  <c r="G8" i="6"/>
  <c r="G114" i="6" s="1"/>
  <c r="DC16" i="1"/>
  <c r="DD16" i="1"/>
  <c r="AY85" i="1"/>
  <c r="BK15" i="1"/>
  <c r="AY148" i="1"/>
  <c r="BK148" i="1" s="1"/>
  <c r="BK84" i="1"/>
  <c r="EA83" i="1"/>
  <c r="BG149" i="1"/>
  <c r="BN85" i="1"/>
  <c r="BV15" i="1"/>
  <c r="CZ148" i="1"/>
  <c r="CO149" i="1"/>
  <c r="CZ84" i="1"/>
  <c r="BN148" i="1"/>
  <c r="BV148" i="1" s="1"/>
  <c r="BV84" i="1"/>
  <c r="AR149" i="1"/>
  <c r="CZ15" i="1"/>
  <c r="CO85" i="1"/>
  <c r="CO15" i="1"/>
  <c r="AV15" i="1"/>
  <c r="DC150" i="1"/>
  <c r="DG16" i="1"/>
  <c r="DS16" i="1"/>
  <c r="G13" i="6"/>
  <c r="G14" i="6"/>
  <c r="CS6" i="1"/>
  <c r="CT6" i="1" s="1"/>
  <c r="CU6" i="1" s="1"/>
  <c r="CV6" i="1" s="1"/>
  <c r="A137" i="6"/>
  <c r="CZ85" i="1"/>
  <c r="EA13" i="1"/>
  <c r="AV84" i="1"/>
  <c r="AV148" i="1"/>
  <c r="U148" i="1"/>
  <c r="U84" i="1"/>
  <c r="AO210" i="1"/>
  <c r="AZ16" i="1"/>
  <c r="AY16" i="1"/>
  <c r="BO16" i="1"/>
  <c r="CS16" i="1"/>
  <c r="CG16" i="1"/>
  <c r="CR16" i="1"/>
  <c r="CR86" i="1" s="1"/>
  <c r="CR150" i="1" s="1"/>
  <c r="CZ150" i="1" s="1"/>
  <c r="CK16" i="1"/>
  <c r="CK86" i="1" s="1"/>
  <c r="CK150" i="1" s="1"/>
  <c r="BN16" i="1"/>
  <c r="BG16" i="1"/>
  <c r="BG86" i="1" s="1"/>
  <c r="BG150" i="1" s="1"/>
  <c r="BC16" i="1"/>
  <c r="BC86" i="1" s="1"/>
  <c r="BC150" i="1" s="1"/>
  <c r="AR16" i="1"/>
  <c r="AR86" i="1" s="1"/>
  <c r="AR150" i="1" s="1"/>
  <c r="F15" i="2"/>
  <c r="F17" i="1"/>
  <c r="AC16" i="1"/>
  <c r="AB16" i="1"/>
  <c r="AB86" i="1" s="1"/>
  <c r="AB150" i="1" s="1"/>
  <c r="R16" i="1"/>
  <c r="BR16" i="1"/>
  <c r="Y16" i="1"/>
  <c r="CV16" i="1"/>
  <c r="AG16" i="1"/>
  <c r="AF16" i="1"/>
  <c r="AF86" i="1" s="1"/>
  <c r="AF150" i="1" s="1"/>
  <c r="AJ16" i="1"/>
  <c r="Q16" i="1"/>
  <c r="Q86" i="1" s="1"/>
  <c r="Q150" i="1" s="1"/>
  <c r="M16" i="1"/>
  <c r="M86" i="1" s="1"/>
  <c r="M150" i="1" s="1"/>
  <c r="N16" i="1"/>
  <c r="X16" i="1"/>
  <c r="X86" i="1" s="1"/>
  <c r="X150" i="1" s="1"/>
  <c r="BO210" i="1"/>
  <c r="CD16" i="1"/>
  <c r="O15" i="2"/>
  <c r="BY16" i="1"/>
  <c r="BY86" i="1" s="1"/>
  <c r="BY150" i="1" s="1"/>
  <c r="BZ16" i="1"/>
  <c r="G16" i="2"/>
  <c r="G19" i="1" s="1"/>
  <c r="H16" i="2"/>
  <c r="H19" i="1" s="1"/>
  <c r="H2" i="6"/>
  <c r="A18" i="12"/>
  <c r="A15" i="2"/>
  <c r="A17" i="8" s="1"/>
  <c r="F17" i="8" s="1"/>
  <c r="A14" i="9"/>
  <c r="A14" i="10"/>
  <c r="C14" i="10" s="1"/>
  <c r="A14" i="11"/>
  <c r="A211" i="1"/>
  <c r="DZ210" i="1"/>
  <c r="CC16" i="1"/>
  <c r="CC86" i="1" s="1"/>
  <c r="CC150" i="1" s="1"/>
  <c r="AN16" i="1"/>
  <c r="U15" i="1"/>
  <c r="DZ16" i="1"/>
  <c r="A17" i="1"/>
  <c r="J19" i="2"/>
  <c r="K19" i="2" s="1"/>
  <c r="G56" i="6"/>
  <c r="G59" i="6" s="1"/>
  <c r="G129" i="6"/>
  <c r="G66" i="6"/>
  <c r="A17" i="6"/>
  <c r="DO17" i="1" l="1"/>
  <c r="DK17" i="1"/>
  <c r="DW84" i="1"/>
  <c r="EA84" i="1" s="1"/>
  <c r="H8" i="6"/>
  <c r="G171" i="6"/>
  <c r="G12" i="6"/>
  <c r="G11" i="6"/>
  <c r="DW148" i="1"/>
  <c r="EA148" i="1" s="1"/>
  <c r="DW15" i="1"/>
  <c r="EA15" i="1" s="1"/>
  <c r="DD17" i="1"/>
  <c r="DC17" i="1"/>
  <c r="DC151" i="1" s="1"/>
  <c r="AY86" i="1"/>
  <c r="BK16" i="1"/>
  <c r="AY149" i="1"/>
  <c r="BK149" i="1" s="1"/>
  <c r="BK85" i="1"/>
  <c r="BN149" i="1"/>
  <c r="BV149" i="1" s="1"/>
  <c r="BV85" i="1"/>
  <c r="CO150" i="1"/>
  <c r="BN86" i="1"/>
  <c r="BV16" i="1"/>
  <c r="CZ16" i="1"/>
  <c r="AV16" i="1"/>
  <c r="CO86" i="1"/>
  <c r="CO16" i="1"/>
  <c r="DG17" i="1"/>
  <c r="DS17" i="1"/>
  <c r="H11" i="6"/>
  <c r="H12" i="6"/>
  <c r="H13" i="6"/>
  <c r="H14" i="6"/>
  <c r="H15" i="6"/>
  <c r="A138" i="6"/>
  <c r="CZ86" i="1"/>
  <c r="AV149" i="1"/>
  <c r="AV85" i="1"/>
  <c r="U85" i="1"/>
  <c r="U149" i="1"/>
  <c r="AO211" i="1"/>
  <c r="N211" i="1"/>
  <c r="R211" i="1"/>
  <c r="BO17" i="1"/>
  <c r="CS17" i="1"/>
  <c r="CR17" i="1"/>
  <c r="CR87" i="1" s="1"/>
  <c r="CR151" i="1" s="1"/>
  <c r="CZ151" i="1" s="1"/>
  <c r="CG17" i="1"/>
  <c r="CK17" i="1"/>
  <c r="CK87" i="1" s="1"/>
  <c r="CK151" i="1" s="1"/>
  <c r="BN17" i="1"/>
  <c r="BG17" i="1"/>
  <c r="BG87" i="1" s="1"/>
  <c r="BC17" i="1"/>
  <c r="BC87" i="1" s="1"/>
  <c r="AZ17" i="1"/>
  <c r="AY17" i="1"/>
  <c r="AR17" i="1"/>
  <c r="AR87" i="1" s="1"/>
  <c r="F16" i="2"/>
  <c r="F18" i="1"/>
  <c r="CC17" i="1"/>
  <c r="CC87" i="1" s="1"/>
  <c r="CC151" i="1" s="1"/>
  <c r="AC17" i="1"/>
  <c r="M17" i="1"/>
  <c r="M87" i="1" s="1"/>
  <c r="M151" i="1" s="1"/>
  <c r="AB17" i="1"/>
  <c r="AB87" i="1" s="1"/>
  <c r="AB151" i="1" s="1"/>
  <c r="N17" i="1"/>
  <c r="R17" i="1"/>
  <c r="Q17" i="1"/>
  <c r="Q87" i="1" s="1"/>
  <c r="Q151" i="1" s="1"/>
  <c r="BR17" i="1"/>
  <c r="Y17" i="1"/>
  <c r="CV17" i="1"/>
  <c r="AG17" i="1"/>
  <c r="X17" i="1"/>
  <c r="X87" i="1" s="1"/>
  <c r="X151" i="1" s="1"/>
  <c r="AF17" i="1"/>
  <c r="AF87" i="1" s="1"/>
  <c r="AF151" i="1" s="1"/>
  <c r="AJ17" i="1"/>
  <c r="BO211" i="1"/>
  <c r="CD17" i="1"/>
  <c r="O16" i="2"/>
  <c r="BY17" i="1"/>
  <c r="BY87" i="1" s="1"/>
  <c r="BY151" i="1" s="1"/>
  <c r="BZ17" i="1"/>
  <c r="G17" i="2"/>
  <c r="G20" i="1" s="1"/>
  <c r="H17" i="2"/>
  <c r="H20" i="1" s="1"/>
  <c r="I2" i="6"/>
  <c r="A15" i="11"/>
  <c r="A19" i="12"/>
  <c r="A16" i="2"/>
  <c r="A18" i="8" s="1"/>
  <c r="F18" i="8" s="1"/>
  <c r="A15" i="9"/>
  <c r="A15" i="10"/>
  <c r="C15" i="10" s="1"/>
  <c r="DZ211" i="1"/>
  <c r="A212" i="1"/>
  <c r="AN17" i="1"/>
  <c r="U16" i="1"/>
  <c r="A18" i="1"/>
  <c r="DZ17" i="1"/>
  <c r="J20" i="2"/>
  <c r="K20" i="2" s="1"/>
  <c r="H129" i="6"/>
  <c r="H56" i="6"/>
  <c r="H66" i="6"/>
  <c r="H114" i="6"/>
  <c r="H171" i="6"/>
  <c r="A18" i="6"/>
  <c r="DW85" i="1" l="1"/>
  <c r="EA85" i="1" s="1"/>
  <c r="DW149" i="1"/>
  <c r="EA149" i="1" s="1"/>
  <c r="DW16" i="1"/>
  <c r="EA16" i="1" s="1"/>
  <c r="DO18" i="1"/>
  <c r="DK18" i="1"/>
  <c r="I8" i="6"/>
  <c r="I66" i="6" s="1"/>
  <c r="DC18" i="1"/>
  <c r="DD18" i="1"/>
  <c r="AY87" i="1"/>
  <c r="BK17" i="1"/>
  <c r="AY150" i="1"/>
  <c r="BK150" i="1" s="1"/>
  <c r="BK86" i="1"/>
  <c r="BN150" i="1"/>
  <c r="BV150" i="1" s="1"/>
  <c r="BV86" i="1"/>
  <c r="BC151" i="1"/>
  <c r="BN87" i="1"/>
  <c r="BV17" i="1"/>
  <c r="CO151" i="1"/>
  <c r="BG151" i="1"/>
  <c r="AR151" i="1"/>
  <c r="CZ17" i="1"/>
  <c r="H59" i="6"/>
  <c r="AV17" i="1"/>
  <c r="CO87" i="1"/>
  <c r="CO17" i="1"/>
  <c r="DS18" i="1"/>
  <c r="DC152" i="1"/>
  <c r="DG18" i="1"/>
  <c r="I11" i="6"/>
  <c r="I12" i="6"/>
  <c r="I13" i="6"/>
  <c r="I14" i="6"/>
  <c r="CW6" i="1"/>
  <c r="CX6" i="1" s="1"/>
  <c r="CY6" i="1" s="1"/>
  <c r="CZ6" i="1" s="1"/>
  <c r="DA6" i="1" s="1"/>
  <c r="A139" i="6"/>
  <c r="CZ87" i="1"/>
  <c r="AV150" i="1"/>
  <c r="AV86" i="1"/>
  <c r="U150" i="1"/>
  <c r="U86" i="1"/>
  <c r="AO212" i="1"/>
  <c r="N212" i="1"/>
  <c r="Y212" i="1"/>
  <c r="R212" i="1"/>
  <c r="BO18" i="1"/>
  <c r="CS18" i="1"/>
  <c r="CR18" i="1"/>
  <c r="CG18" i="1"/>
  <c r="CK18" i="1"/>
  <c r="CK88" i="1" s="1"/>
  <c r="CK152" i="1" s="1"/>
  <c r="BN18" i="1"/>
  <c r="BG18" i="1"/>
  <c r="BG88" i="1" s="1"/>
  <c r="BG152" i="1" s="1"/>
  <c r="BC18" i="1"/>
  <c r="BC88" i="1" s="1"/>
  <c r="BC152" i="1" s="1"/>
  <c r="AZ18" i="1"/>
  <c r="AY18" i="1"/>
  <c r="AR18" i="1"/>
  <c r="AR88" i="1" s="1"/>
  <c r="AR152" i="1" s="1"/>
  <c r="F17" i="2"/>
  <c r="F19" i="1"/>
  <c r="CC18" i="1"/>
  <c r="CC88" i="1" s="1"/>
  <c r="CC152" i="1" s="1"/>
  <c r="M18" i="1"/>
  <c r="M88" i="1" s="1"/>
  <c r="M152" i="1" s="1"/>
  <c r="R18" i="1"/>
  <c r="N18" i="1"/>
  <c r="Q18" i="1"/>
  <c r="Q88" i="1" s="1"/>
  <c r="Q152" i="1" s="1"/>
  <c r="BR18" i="1"/>
  <c r="Y18" i="1"/>
  <c r="CV18" i="1"/>
  <c r="AG18" i="1"/>
  <c r="X18" i="1"/>
  <c r="X88" i="1" s="1"/>
  <c r="X152" i="1" s="1"/>
  <c r="AF18" i="1"/>
  <c r="AF88" i="1" s="1"/>
  <c r="AF152" i="1" s="1"/>
  <c r="AJ18" i="1"/>
  <c r="AC18" i="1"/>
  <c r="AB18" i="1"/>
  <c r="AB88" i="1" s="1"/>
  <c r="AB152" i="1" s="1"/>
  <c r="BO212" i="1"/>
  <c r="CD18" i="1"/>
  <c r="O17" i="2"/>
  <c r="BZ18" i="1"/>
  <c r="BY18" i="1"/>
  <c r="BY88" i="1" s="1"/>
  <c r="BY152" i="1" s="1"/>
  <c r="H18" i="2"/>
  <c r="H21" i="1" s="1"/>
  <c r="G18" i="2"/>
  <c r="G21" i="1" s="1"/>
  <c r="J2" i="6"/>
  <c r="A16" i="9"/>
  <c r="A16" i="10"/>
  <c r="C16" i="10" s="1"/>
  <c r="A20" i="12"/>
  <c r="A17" i="2"/>
  <c r="A19" i="8" s="1"/>
  <c r="F19" i="8" s="1"/>
  <c r="A16" i="11"/>
  <c r="A213" i="1"/>
  <c r="DZ212" i="1"/>
  <c r="AO18" i="1"/>
  <c r="AN18" i="1"/>
  <c r="U17" i="1"/>
  <c r="A19" i="1"/>
  <c r="DZ18" i="1"/>
  <c r="J21" i="2"/>
  <c r="K21" i="2" s="1"/>
  <c r="A19" i="6"/>
  <c r="DW17" i="1" l="1"/>
  <c r="EA17" i="1" s="1"/>
  <c r="DW86" i="1"/>
  <c r="EA86" i="1" s="1"/>
  <c r="I171" i="6"/>
  <c r="I114" i="6"/>
  <c r="I129" i="6"/>
  <c r="I16" i="6"/>
  <c r="I15" i="6"/>
  <c r="J8" i="6"/>
  <c r="J129" i="6" s="1"/>
  <c r="DW150" i="1"/>
  <c r="EA150" i="1" s="1"/>
  <c r="I56" i="6"/>
  <c r="DK19" i="1"/>
  <c r="DO19" i="1"/>
  <c r="DC19" i="1"/>
  <c r="DD19" i="1"/>
  <c r="AY88" i="1"/>
  <c r="BK18" i="1"/>
  <c r="AY151" i="1"/>
  <c r="BK151" i="1" s="1"/>
  <c r="BK87" i="1"/>
  <c r="BN151" i="1"/>
  <c r="BV151" i="1" s="1"/>
  <c r="BV87" i="1"/>
  <c r="BN88" i="1"/>
  <c r="BV18" i="1"/>
  <c r="CO152" i="1"/>
  <c r="CZ18" i="1"/>
  <c r="CR88" i="1"/>
  <c r="CR152" i="1" s="1"/>
  <c r="DB6" i="1"/>
  <c r="DC6" i="1" s="1"/>
  <c r="DD6" i="1" s="1"/>
  <c r="DE6" i="1" s="1"/>
  <c r="DF6" i="1" s="1"/>
  <c r="DG6" i="1" s="1"/>
  <c r="DH6" i="1" s="1"/>
  <c r="AV18" i="1"/>
  <c r="CO88" i="1"/>
  <c r="CO18" i="1"/>
  <c r="DC153" i="1"/>
  <c r="DS19" i="1"/>
  <c r="DG19" i="1"/>
  <c r="J16" i="6"/>
  <c r="J17" i="6"/>
  <c r="A140" i="6"/>
  <c r="AV151" i="1"/>
  <c r="AV87" i="1"/>
  <c r="U151" i="1"/>
  <c r="U87" i="1"/>
  <c r="AO213" i="1"/>
  <c r="Y213" i="1"/>
  <c r="R213" i="1"/>
  <c r="N213" i="1"/>
  <c r="BO19" i="1"/>
  <c r="CS19" i="1"/>
  <c r="CR19" i="1"/>
  <c r="CR89" i="1" s="1"/>
  <c r="CR153" i="1" s="1"/>
  <c r="CZ153" i="1" s="1"/>
  <c r="CG19" i="1"/>
  <c r="CK19" i="1"/>
  <c r="CK89" i="1" s="1"/>
  <c r="CK153" i="1" s="1"/>
  <c r="BN19" i="1"/>
  <c r="BG19" i="1"/>
  <c r="BG89" i="1" s="1"/>
  <c r="BG153" i="1" s="1"/>
  <c r="BC19" i="1"/>
  <c r="BC89" i="1" s="1"/>
  <c r="BC153" i="1" s="1"/>
  <c r="AZ19" i="1"/>
  <c r="AY19" i="1"/>
  <c r="F18" i="2"/>
  <c r="F20" i="1"/>
  <c r="AR19" i="1"/>
  <c r="AR89" i="1" s="1"/>
  <c r="AR153" i="1" s="1"/>
  <c r="AG19" i="1"/>
  <c r="AF19" i="1"/>
  <c r="AF89" i="1" s="1"/>
  <c r="AF153" i="1" s="1"/>
  <c r="AC19" i="1"/>
  <c r="R19" i="1"/>
  <c r="Q19" i="1"/>
  <c r="Q89" i="1" s="1"/>
  <c r="Q153" i="1" s="1"/>
  <c r="M19" i="1"/>
  <c r="M89" i="1" s="1"/>
  <c r="M153" i="1" s="1"/>
  <c r="BR19" i="1"/>
  <c r="N19" i="1"/>
  <c r="Y19" i="1"/>
  <c r="CV19" i="1"/>
  <c r="X19" i="1"/>
  <c r="X89" i="1" s="1"/>
  <c r="X153" i="1" s="1"/>
  <c r="AJ19" i="1"/>
  <c r="AB19" i="1"/>
  <c r="AB89" i="1" s="1"/>
  <c r="AB153" i="1" s="1"/>
  <c r="CD19" i="1"/>
  <c r="CC19" i="1"/>
  <c r="CC89" i="1" s="1"/>
  <c r="CC153" i="1" s="1"/>
  <c r="BO213" i="1"/>
  <c r="BZ213" i="1"/>
  <c r="O18" i="2"/>
  <c r="BZ19" i="1"/>
  <c r="BY19" i="1"/>
  <c r="BY89" i="1" s="1"/>
  <c r="BY153" i="1" s="1"/>
  <c r="CA268" i="1"/>
  <c r="H19" i="2"/>
  <c r="H22" i="1" s="1"/>
  <c r="G19" i="2"/>
  <c r="G22" i="1" s="1"/>
  <c r="K2" i="6"/>
  <c r="A21" i="12"/>
  <c r="A18" i="2"/>
  <c r="A20" i="8" s="1"/>
  <c r="F20" i="8" s="1"/>
  <c r="A17" i="9"/>
  <c r="A17" i="10"/>
  <c r="C17" i="10" s="1"/>
  <c r="A17" i="11"/>
  <c r="S213" i="1"/>
  <c r="O213" i="1"/>
  <c r="AP213" i="1"/>
  <c r="O212" i="1"/>
  <c r="S212" i="1"/>
  <c r="DZ213" i="1"/>
  <c r="A214" i="1"/>
  <c r="AN19" i="1"/>
  <c r="AO19" i="1"/>
  <c r="U18" i="1"/>
  <c r="A20" i="1"/>
  <c r="DZ19" i="1"/>
  <c r="J22" i="2"/>
  <c r="K22" i="2" s="1"/>
  <c r="J171" i="6"/>
  <c r="A20" i="6"/>
  <c r="DI6" i="1" l="1"/>
  <c r="DJ6" i="1" s="1"/>
  <c r="DK6" i="1" s="1"/>
  <c r="CO153" i="1"/>
  <c r="DW87" i="1"/>
  <c r="EA87" i="1" s="1"/>
  <c r="J15" i="6"/>
  <c r="DW18" i="1"/>
  <c r="EA18" i="1" s="1"/>
  <c r="J14" i="6"/>
  <c r="K8" i="6"/>
  <c r="K17" i="6" s="1"/>
  <c r="J13" i="6"/>
  <c r="J66" i="6"/>
  <c r="J12" i="6"/>
  <c r="J11" i="6"/>
  <c r="DK20" i="1"/>
  <c r="DP20" i="1"/>
  <c r="DO20" i="1"/>
  <c r="DL20" i="1"/>
  <c r="DW151" i="1"/>
  <c r="EA151" i="1" s="1"/>
  <c r="J114" i="6"/>
  <c r="J56" i="6"/>
  <c r="DC20" i="1"/>
  <c r="DC154" i="1" s="1"/>
  <c r="DD20" i="1"/>
  <c r="AY89" i="1"/>
  <c r="BK19" i="1"/>
  <c r="CZ88" i="1"/>
  <c r="AY152" i="1"/>
  <c r="BK152" i="1" s="1"/>
  <c r="BK88" i="1"/>
  <c r="BN152" i="1"/>
  <c r="BV152" i="1" s="1"/>
  <c r="BV88" i="1"/>
  <c r="BN89" i="1"/>
  <c r="BV19" i="1"/>
  <c r="CZ152" i="1"/>
  <c r="CZ19" i="1"/>
  <c r="CO89" i="1"/>
  <c r="CO19" i="1"/>
  <c r="AV19" i="1"/>
  <c r="DG20" i="1"/>
  <c r="DS20" i="1"/>
  <c r="DT20" i="1"/>
  <c r="DH20" i="1"/>
  <c r="K11" i="6"/>
  <c r="K12" i="6"/>
  <c r="K13" i="6"/>
  <c r="K18" i="6"/>
  <c r="A141" i="6"/>
  <c r="CZ89" i="1"/>
  <c r="U88" i="1"/>
  <c r="AV152" i="1"/>
  <c r="AV88" i="1"/>
  <c r="U152" i="1"/>
  <c r="AO214" i="1"/>
  <c r="Y214" i="1"/>
  <c r="R214" i="1"/>
  <c r="N214" i="1"/>
  <c r="CL20" i="1"/>
  <c r="BO20" i="1"/>
  <c r="CS20" i="1"/>
  <c r="CR20" i="1"/>
  <c r="CR90" i="1" s="1"/>
  <c r="CR154" i="1" s="1"/>
  <c r="CZ154" i="1" s="1"/>
  <c r="CG20" i="1"/>
  <c r="CK20" i="1"/>
  <c r="CK90" i="1" s="1"/>
  <c r="CK154" i="1" s="1"/>
  <c r="BN20" i="1"/>
  <c r="BH20" i="1"/>
  <c r="BG20" i="1"/>
  <c r="BG90" i="1" s="1"/>
  <c r="BC20" i="1"/>
  <c r="BC90" i="1" s="1"/>
  <c r="AZ20" i="1"/>
  <c r="AY20" i="1"/>
  <c r="CH20" i="1"/>
  <c r="BD20" i="1"/>
  <c r="AR20" i="1"/>
  <c r="AR90" i="1" s="1"/>
  <c r="F19" i="2"/>
  <c r="F21" i="1"/>
  <c r="AC20" i="1"/>
  <c r="Q20" i="1"/>
  <c r="Q90" i="1" s="1"/>
  <c r="Q154" i="1" s="1"/>
  <c r="BS20" i="1"/>
  <c r="BR20" i="1"/>
  <c r="CW20" i="1"/>
  <c r="Y20" i="1"/>
  <c r="CV20" i="1"/>
  <c r="X20" i="1"/>
  <c r="X90" i="1" s="1"/>
  <c r="X154" i="1" s="1"/>
  <c r="M20" i="1"/>
  <c r="M90" i="1" s="1"/>
  <c r="M154" i="1" s="1"/>
  <c r="AG20" i="1"/>
  <c r="N20" i="1"/>
  <c r="AK20" i="1"/>
  <c r="AF20" i="1"/>
  <c r="AF90" i="1" s="1"/>
  <c r="AF154" i="1" s="1"/>
  <c r="AJ20" i="1"/>
  <c r="R20" i="1"/>
  <c r="AB20" i="1"/>
  <c r="AB90" i="1" s="1"/>
  <c r="AB154" i="1" s="1"/>
  <c r="CD20" i="1"/>
  <c r="CC20" i="1"/>
  <c r="CC90" i="1" s="1"/>
  <c r="CC154" i="1" s="1"/>
  <c r="BO214" i="1"/>
  <c r="CD214" i="1"/>
  <c r="BZ214" i="1"/>
  <c r="O19" i="2"/>
  <c r="BZ20" i="1"/>
  <c r="BY20" i="1"/>
  <c r="BY90" i="1" s="1"/>
  <c r="BY154" i="1" s="1"/>
  <c r="CA19" i="1"/>
  <c r="CA18" i="1" s="1"/>
  <c r="CA17" i="1" s="1"/>
  <c r="CA16" i="1" s="1"/>
  <c r="G20" i="2"/>
  <c r="G23" i="1" s="1"/>
  <c r="H20" i="2"/>
  <c r="H23" i="1" s="1"/>
  <c r="L2" i="6"/>
  <c r="A18" i="10"/>
  <c r="C18" i="10" s="1"/>
  <c r="A18" i="11"/>
  <c r="A22" i="12"/>
  <c r="A19" i="2"/>
  <c r="A21" i="8" s="1"/>
  <c r="F21" i="8" s="1"/>
  <c r="A18" i="9"/>
  <c r="V213" i="1"/>
  <c r="S214" i="1"/>
  <c r="O214" i="1"/>
  <c r="AP214" i="1"/>
  <c r="Z214" i="1"/>
  <c r="Z213" i="1"/>
  <c r="A215" i="1"/>
  <c r="DZ214" i="1"/>
  <c r="AO20" i="1"/>
  <c r="AN20" i="1"/>
  <c r="U19" i="1"/>
  <c r="DZ20" i="1"/>
  <c r="A21" i="1"/>
  <c r="J23" i="2"/>
  <c r="K23" i="2" s="1"/>
  <c r="K66" i="6"/>
  <c r="K171" i="6"/>
  <c r="A21" i="6"/>
  <c r="DW88" i="1" l="1"/>
  <c r="DW152" i="1"/>
  <c r="DL6" i="1"/>
  <c r="DM6" i="1" s="1"/>
  <c r="DN6" i="1" s="1"/>
  <c r="DO6" i="1" s="1"/>
  <c r="J83" i="6" s="1"/>
  <c r="C82" i="6"/>
  <c r="D82" i="6"/>
  <c r="E82" i="6"/>
  <c r="F82" i="6"/>
  <c r="G82" i="6"/>
  <c r="H82" i="6"/>
  <c r="I82" i="6"/>
  <c r="J82" i="6"/>
  <c r="DO21" i="1"/>
  <c r="DK21" i="1"/>
  <c r="K129" i="6"/>
  <c r="K16" i="6"/>
  <c r="K114" i="6"/>
  <c r="DD215" i="1"/>
  <c r="DL215" i="1"/>
  <c r="DP215" i="1"/>
  <c r="K15" i="6"/>
  <c r="K56" i="6"/>
  <c r="K14" i="6"/>
  <c r="K83" i="6"/>
  <c r="K82" i="6"/>
  <c r="L8" i="6"/>
  <c r="L11" i="6" s="1"/>
  <c r="DW19" i="1"/>
  <c r="EA19" i="1" s="1"/>
  <c r="DD21" i="1"/>
  <c r="DC21" i="1"/>
  <c r="DC155" i="1" s="1"/>
  <c r="AY90" i="1"/>
  <c r="BK20" i="1"/>
  <c r="AY153" i="1"/>
  <c r="BK153" i="1" s="1"/>
  <c r="BK89" i="1"/>
  <c r="CO154" i="1"/>
  <c r="BN153" i="1"/>
  <c r="BV153" i="1" s="1"/>
  <c r="BV89" i="1"/>
  <c r="AR154" i="1"/>
  <c r="BC154" i="1"/>
  <c r="BG154" i="1"/>
  <c r="BN90" i="1"/>
  <c r="BV20" i="1"/>
  <c r="CZ20" i="1"/>
  <c r="EA152" i="1"/>
  <c r="EA88" i="1"/>
  <c r="CO90" i="1"/>
  <c r="CO20" i="1"/>
  <c r="AV20" i="1"/>
  <c r="DT215" i="1"/>
  <c r="DH215" i="1"/>
  <c r="DG21" i="1"/>
  <c r="DS21" i="1"/>
  <c r="L12" i="6"/>
  <c r="L13" i="6"/>
  <c r="L14" i="6"/>
  <c r="L15" i="6"/>
  <c r="L16" i="6"/>
  <c r="L17" i="6"/>
  <c r="L18" i="6"/>
  <c r="L19" i="6"/>
  <c r="A142" i="6"/>
  <c r="CZ90" i="1"/>
  <c r="CR21" i="1"/>
  <c r="CR91" i="1" s="1"/>
  <c r="CR155" i="1" s="1"/>
  <c r="CZ155" i="1" s="1"/>
  <c r="AV153" i="1"/>
  <c r="AV89" i="1"/>
  <c r="U153" i="1"/>
  <c r="U89" i="1"/>
  <c r="CW215" i="1"/>
  <c r="CS215" i="1"/>
  <c r="AK215" i="1"/>
  <c r="AG215" i="1"/>
  <c r="AS215" i="1"/>
  <c r="AO215" i="1"/>
  <c r="AC215" i="1"/>
  <c r="Y215" i="1"/>
  <c r="R215" i="1"/>
  <c r="N215" i="1"/>
  <c r="CS21" i="1"/>
  <c r="CG21" i="1"/>
  <c r="CK21" i="1"/>
  <c r="CK91" i="1" s="1"/>
  <c r="CK155" i="1" s="1"/>
  <c r="BN21" i="1"/>
  <c r="BG21" i="1"/>
  <c r="BG91" i="1" s="1"/>
  <c r="BG155" i="1" s="1"/>
  <c r="BC21" i="1"/>
  <c r="BC91" i="1" s="1"/>
  <c r="BC155" i="1" s="1"/>
  <c r="AZ21" i="1"/>
  <c r="BO21" i="1"/>
  <c r="AY21" i="1"/>
  <c r="F20" i="2"/>
  <c r="F22" i="1"/>
  <c r="AR21" i="1"/>
  <c r="AR91" i="1" s="1"/>
  <c r="X21" i="1"/>
  <c r="X91" i="1" s="1"/>
  <c r="X155" i="1" s="1"/>
  <c r="R21" i="1"/>
  <c r="CV21" i="1"/>
  <c r="BR21" i="1"/>
  <c r="Y21" i="1"/>
  <c r="AG21" i="1"/>
  <c r="AF21" i="1"/>
  <c r="AF91" i="1" s="1"/>
  <c r="AF155" i="1" s="1"/>
  <c r="N21" i="1"/>
  <c r="AJ21" i="1"/>
  <c r="AC21" i="1"/>
  <c r="AB21" i="1"/>
  <c r="AB91" i="1" s="1"/>
  <c r="AB155" i="1" s="1"/>
  <c r="Q21" i="1"/>
  <c r="Q91" i="1" s="1"/>
  <c r="Q155" i="1" s="1"/>
  <c r="M21" i="1"/>
  <c r="M91" i="1" s="1"/>
  <c r="M155" i="1" s="1"/>
  <c r="CD21" i="1"/>
  <c r="CC21" i="1"/>
  <c r="CC91" i="1" s="1"/>
  <c r="CC155" i="1" s="1"/>
  <c r="CA15" i="1"/>
  <c r="BO215" i="1"/>
  <c r="CD215" i="1"/>
  <c r="BZ215" i="1"/>
  <c r="O20" i="2"/>
  <c r="BZ21" i="1"/>
  <c r="BY21" i="1"/>
  <c r="BY91" i="1" s="1"/>
  <c r="BY155" i="1" s="1"/>
  <c r="CA215" i="1"/>
  <c r="G21" i="2"/>
  <c r="G24" i="1" s="1"/>
  <c r="H21" i="2"/>
  <c r="H24" i="1" s="1"/>
  <c r="M2" i="6"/>
  <c r="A19" i="9"/>
  <c r="A19" i="10"/>
  <c r="C19" i="10" s="1"/>
  <c r="A19" i="11"/>
  <c r="A23" i="12"/>
  <c r="A20" i="2"/>
  <c r="A22" i="8" s="1"/>
  <c r="F22" i="8" s="1"/>
  <c r="AT275" i="1"/>
  <c r="S215" i="1"/>
  <c r="AP215" i="1"/>
  <c r="Z215" i="1"/>
  <c r="O215" i="1"/>
  <c r="V214" i="1"/>
  <c r="A216" i="1"/>
  <c r="DZ215" i="1"/>
  <c r="AN21" i="1"/>
  <c r="AO21" i="1"/>
  <c r="U20" i="1"/>
  <c r="A22" i="1"/>
  <c r="DZ21" i="1"/>
  <c r="J24" i="2"/>
  <c r="K24" i="2" s="1"/>
  <c r="A22" i="6"/>
  <c r="L66" i="6"/>
  <c r="L114" i="6"/>
  <c r="L56" i="6"/>
  <c r="L129" i="6"/>
  <c r="L171" i="6"/>
  <c r="DW153" i="1" l="1"/>
  <c r="EA153" i="1" s="1"/>
  <c r="DW89" i="1"/>
  <c r="EA89" i="1" s="1"/>
  <c r="DP6" i="1"/>
  <c r="DQ6" i="1" s="1"/>
  <c r="DR6" i="1" s="1"/>
  <c r="DS6" i="1" s="1"/>
  <c r="DT6" i="1" s="1"/>
  <c r="DU6" i="1" s="1"/>
  <c r="DV6" i="1" s="1"/>
  <c r="DW6" i="1" s="1"/>
  <c r="DX6" i="1" s="1"/>
  <c r="C83" i="6"/>
  <c r="D83" i="6"/>
  <c r="E83" i="6"/>
  <c r="F83" i="6"/>
  <c r="G83" i="6"/>
  <c r="H83" i="6"/>
  <c r="I83" i="6"/>
  <c r="DO22" i="1"/>
  <c r="DK22" i="1"/>
  <c r="M8" i="6"/>
  <c r="M13" i="6" s="1"/>
  <c r="DW20" i="1"/>
  <c r="EA20" i="1" s="1"/>
  <c r="L82" i="6"/>
  <c r="L83" i="6"/>
  <c r="DD22" i="1"/>
  <c r="DC22" i="1"/>
  <c r="DC156" i="1" s="1"/>
  <c r="CO155" i="1"/>
  <c r="AY154" i="1"/>
  <c r="BK154" i="1" s="1"/>
  <c r="BK90" i="1"/>
  <c r="AY91" i="1"/>
  <c r="BK21" i="1"/>
  <c r="AR155" i="1"/>
  <c r="BN154" i="1"/>
  <c r="BV154" i="1" s="1"/>
  <c r="BV90" i="1"/>
  <c r="BN91" i="1"/>
  <c r="BV21" i="1"/>
  <c r="CZ21" i="1"/>
  <c r="AV21" i="1"/>
  <c r="CO91" i="1"/>
  <c r="CO21" i="1"/>
  <c r="DS22" i="1"/>
  <c r="DG22" i="1"/>
  <c r="M18" i="6"/>
  <c r="M19" i="6"/>
  <c r="A143" i="6"/>
  <c r="CZ91" i="1"/>
  <c r="EA68" i="1"/>
  <c r="U90" i="1"/>
  <c r="U154" i="1"/>
  <c r="AV154" i="1"/>
  <c r="AV90" i="1"/>
  <c r="AO216" i="1"/>
  <c r="AC216" i="1"/>
  <c r="Y216" i="1"/>
  <c r="R216" i="1"/>
  <c r="N216" i="1"/>
  <c r="CS22" i="1"/>
  <c r="CR22" i="1"/>
  <c r="CR92" i="1" s="1"/>
  <c r="CR156" i="1" s="1"/>
  <c r="CZ156" i="1" s="1"/>
  <c r="CG22" i="1"/>
  <c r="BN22" i="1"/>
  <c r="CK22" i="1"/>
  <c r="CK92" i="1" s="1"/>
  <c r="CK156" i="1" s="1"/>
  <c r="BG22" i="1"/>
  <c r="BG92" i="1" s="1"/>
  <c r="BG156" i="1" s="1"/>
  <c r="BC22" i="1"/>
  <c r="BC92" i="1" s="1"/>
  <c r="BC156" i="1" s="1"/>
  <c r="AZ22" i="1"/>
  <c r="AY22" i="1"/>
  <c r="BO22" i="1"/>
  <c r="F21" i="2"/>
  <c r="F23" i="1"/>
  <c r="AR22" i="1"/>
  <c r="AR92" i="1" s="1"/>
  <c r="N22" i="1"/>
  <c r="CV22" i="1"/>
  <c r="BR22" i="1"/>
  <c r="Y22" i="1"/>
  <c r="X22" i="1"/>
  <c r="X92" i="1" s="1"/>
  <c r="X156" i="1" s="1"/>
  <c r="AG22" i="1"/>
  <c r="AF22" i="1"/>
  <c r="AF92" i="1" s="1"/>
  <c r="AF156" i="1" s="1"/>
  <c r="AJ22" i="1"/>
  <c r="AC22" i="1"/>
  <c r="AB22" i="1"/>
  <c r="AB92" i="1" s="1"/>
  <c r="AB156" i="1" s="1"/>
  <c r="M22" i="1"/>
  <c r="M92" i="1" s="1"/>
  <c r="M156" i="1" s="1"/>
  <c r="R22" i="1"/>
  <c r="Q22" i="1"/>
  <c r="Q92" i="1" s="1"/>
  <c r="Q156" i="1" s="1"/>
  <c r="CD22" i="1"/>
  <c r="CC22" i="1"/>
  <c r="CC92" i="1" s="1"/>
  <c r="CC156" i="1" s="1"/>
  <c r="CA14" i="1"/>
  <c r="CD216" i="1"/>
  <c r="BZ216" i="1"/>
  <c r="BO216" i="1"/>
  <c r="BS215" i="1"/>
  <c r="CH215" i="1"/>
  <c r="CL215" i="1"/>
  <c r="O21" i="2"/>
  <c r="BY22" i="1"/>
  <c r="BY92" i="1" s="1"/>
  <c r="BY156" i="1" s="1"/>
  <c r="BZ22" i="1"/>
  <c r="CA216" i="1"/>
  <c r="H22" i="2"/>
  <c r="H25" i="1" s="1"/>
  <c r="G22" i="2"/>
  <c r="G25" i="1" s="1"/>
  <c r="N2" i="6"/>
  <c r="A20" i="9"/>
  <c r="A20" i="10"/>
  <c r="C20" i="10" s="1"/>
  <c r="A24" i="12"/>
  <c r="A21" i="2"/>
  <c r="A23" i="8" s="1"/>
  <c r="F23" i="8" s="1"/>
  <c r="A20" i="11"/>
  <c r="BP216" i="1"/>
  <c r="S216" i="1"/>
  <c r="AP216" i="1"/>
  <c r="Z216" i="1"/>
  <c r="O216" i="1"/>
  <c r="DZ216" i="1"/>
  <c r="A217" i="1"/>
  <c r="V215" i="1"/>
  <c r="AO22" i="1"/>
  <c r="AN22" i="1"/>
  <c r="U21" i="1"/>
  <c r="DZ22" i="1"/>
  <c r="A23" i="1"/>
  <c r="J25" i="2"/>
  <c r="K25" i="2" s="1"/>
  <c r="A23" i="6"/>
  <c r="M66" i="6"/>
  <c r="M114" i="6"/>
  <c r="DW154" i="1" l="1"/>
  <c r="DW90" i="1"/>
  <c r="EA90" i="1" s="1"/>
  <c r="M56" i="6"/>
  <c r="M16" i="6"/>
  <c r="M14" i="6"/>
  <c r="M12" i="6"/>
  <c r="M11" i="6"/>
  <c r="M171" i="6"/>
  <c r="M20" i="6"/>
  <c r="M129" i="6"/>
  <c r="M17" i="6"/>
  <c r="M82" i="6"/>
  <c r="M83" i="6"/>
  <c r="M15" i="6"/>
  <c r="N8" i="6"/>
  <c r="N13" i="6" s="1"/>
  <c r="DW21" i="1"/>
  <c r="EA21" i="1" s="1"/>
  <c r="DK23" i="1"/>
  <c r="DO23" i="1"/>
  <c r="EA154" i="1"/>
  <c r="DC23" i="1"/>
  <c r="DD23" i="1"/>
  <c r="DE23" i="1"/>
  <c r="DE22" i="1" s="1"/>
  <c r="DE21" i="1" s="1"/>
  <c r="DE20" i="1" s="1"/>
  <c r="DE19" i="1" s="1"/>
  <c r="DE18" i="1" s="1"/>
  <c r="DE17" i="1" s="1"/>
  <c r="DE16" i="1" s="1"/>
  <c r="DE15" i="1" s="1"/>
  <c r="DE14" i="1" s="1"/>
  <c r="DE13" i="1" s="1"/>
  <c r="DE12" i="1" s="1"/>
  <c r="DE11" i="1" s="1"/>
  <c r="AY92" i="1"/>
  <c r="BK22" i="1"/>
  <c r="AY155" i="1"/>
  <c r="BK155" i="1" s="1"/>
  <c r="BK91" i="1"/>
  <c r="AR156" i="1"/>
  <c r="CO156" i="1"/>
  <c r="BN92" i="1"/>
  <c r="BV22" i="1"/>
  <c r="BN155" i="1"/>
  <c r="BV155" i="1" s="1"/>
  <c r="BV91" i="1"/>
  <c r="CZ22" i="1"/>
  <c r="CO92" i="1"/>
  <c r="CO22" i="1"/>
  <c r="AV22" i="1"/>
  <c r="DS23" i="1"/>
  <c r="DG23" i="1"/>
  <c r="N20" i="6"/>
  <c r="A144" i="6"/>
  <c r="CZ92" i="1"/>
  <c r="U155" i="1"/>
  <c r="U91" i="1"/>
  <c r="AV155" i="1"/>
  <c r="AV91" i="1"/>
  <c r="CT217" i="1"/>
  <c r="CS217" i="1"/>
  <c r="AO217" i="1"/>
  <c r="AC217" i="1"/>
  <c r="Y217" i="1"/>
  <c r="R217" i="1"/>
  <c r="N217" i="1"/>
  <c r="CR23" i="1"/>
  <c r="CR93" i="1" s="1"/>
  <c r="CR157" i="1" s="1"/>
  <c r="CZ157" i="1" s="1"/>
  <c r="CG23" i="1"/>
  <c r="CK23" i="1"/>
  <c r="CK93" i="1" s="1"/>
  <c r="CK157" i="1" s="1"/>
  <c r="BN23" i="1"/>
  <c r="BG23" i="1"/>
  <c r="BG93" i="1" s="1"/>
  <c r="BG157" i="1" s="1"/>
  <c r="BC23" i="1"/>
  <c r="BC93" i="1" s="1"/>
  <c r="BC157" i="1" s="1"/>
  <c r="AZ23" i="1"/>
  <c r="AY23" i="1"/>
  <c r="BO23" i="1"/>
  <c r="CS23" i="1"/>
  <c r="F22" i="2"/>
  <c r="F24" i="1"/>
  <c r="AR23" i="1"/>
  <c r="AR93" i="1" s="1"/>
  <c r="CV23" i="1"/>
  <c r="BR23" i="1"/>
  <c r="X23" i="1"/>
  <c r="X93" i="1" s="1"/>
  <c r="X157" i="1" s="1"/>
  <c r="AG23" i="1"/>
  <c r="AF23" i="1"/>
  <c r="AF93" i="1" s="1"/>
  <c r="AF157" i="1" s="1"/>
  <c r="AC23" i="1"/>
  <c r="AJ23" i="1"/>
  <c r="AB23" i="1"/>
  <c r="AB93" i="1" s="1"/>
  <c r="AB157" i="1" s="1"/>
  <c r="R23" i="1"/>
  <c r="Q23" i="1"/>
  <c r="Q93" i="1" s="1"/>
  <c r="Q157" i="1" s="1"/>
  <c r="M23" i="1"/>
  <c r="M93" i="1" s="1"/>
  <c r="M157" i="1" s="1"/>
  <c r="N23" i="1"/>
  <c r="Y23" i="1"/>
  <c r="CD23" i="1"/>
  <c r="CC23" i="1"/>
  <c r="CC93" i="1" s="1"/>
  <c r="CC157" i="1" s="1"/>
  <c r="CA13" i="1"/>
  <c r="BZ217" i="1"/>
  <c r="CD217" i="1"/>
  <c r="BO217" i="1"/>
  <c r="O22" i="2"/>
  <c r="BZ23" i="1"/>
  <c r="BY23" i="1"/>
  <c r="BY93" i="1" s="1"/>
  <c r="BY157" i="1" s="1"/>
  <c r="CA217" i="1"/>
  <c r="H23" i="2"/>
  <c r="H26" i="1" s="1"/>
  <c r="G23" i="2"/>
  <c r="G26" i="1" s="1"/>
  <c r="O2" i="6"/>
  <c r="AZ217" i="1"/>
  <c r="A21" i="9"/>
  <c r="A21" i="10"/>
  <c r="C21" i="10" s="1"/>
  <c r="A21" i="11"/>
  <c r="A25" i="12"/>
  <c r="A22" i="2"/>
  <c r="A24" i="8" s="1"/>
  <c r="F24" i="8" s="1"/>
  <c r="BP217" i="1"/>
  <c r="S217" i="1"/>
  <c r="AP217" i="1"/>
  <c r="Z217" i="1"/>
  <c r="O217" i="1"/>
  <c r="AD217" i="1"/>
  <c r="A218" i="1"/>
  <c r="DZ217" i="1"/>
  <c r="V216" i="1"/>
  <c r="AN23" i="1"/>
  <c r="AO23" i="1"/>
  <c r="U22" i="1"/>
  <c r="A24" i="1"/>
  <c r="DZ23" i="1"/>
  <c r="J26" i="2"/>
  <c r="K26" i="2" s="1"/>
  <c r="N171" i="6"/>
  <c r="A24" i="6"/>
  <c r="DW22" i="1" l="1"/>
  <c r="EA22" i="1" s="1"/>
  <c r="N18" i="6"/>
  <c r="DW155" i="1"/>
  <c r="EA155" i="1" s="1"/>
  <c r="N15" i="6"/>
  <c r="N12" i="6"/>
  <c r="N21" i="6"/>
  <c r="N11" i="6"/>
  <c r="DW91" i="1"/>
  <c r="EA91" i="1" s="1"/>
  <c r="N19" i="6"/>
  <c r="N66" i="6"/>
  <c r="N114" i="6"/>
  <c r="N56" i="6"/>
  <c r="N14" i="6"/>
  <c r="N17" i="6"/>
  <c r="N16" i="6"/>
  <c r="N129" i="6"/>
  <c r="O8" i="6"/>
  <c r="O15" i="6" s="1"/>
  <c r="DO24" i="1"/>
  <c r="DK24" i="1"/>
  <c r="DE218" i="1"/>
  <c r="DD218" i="1"/>
  <c r="DC24" i="1"/>
  <c r="DD24" i="1"/>
  <c r="DE24" i="1"/>
  <c r="AY93" i="1"/>
  <c r="BK23" i="1"/>
  <c r="AY156" i="1"/>
  <c r="BK156" i="1" s="1"/>
  <c r="BK92" i="1"/>
  <c r="BN93" i="1"/>
  <c r="BV23" i="1"/>
  <c r="DC157" i="1"/>
  <c r="BN156" i="1"/>
  <c r="BV156" i="1" s="1"/>
  <c r="BV92" i="1"/>
  <c r="AR157" i="1"/>
  <c r="CO157" i="1"/>
  <c r="CZ23" i="1"/>
  <c r="CO93" i="1"/>
  <c r="CO23" i="1"/>
  <c r="AV23" i="1"/>
  <c r="DG24" i="1"/>
  <c r="DS24" i="1"/>
  <c r="DC158" i="1"/>
  <c r="O11" i="6"/>
  <c r="O12" i="6"/>
  <c r="O13" i="6"/>
  <c r="O14" i="6"/>
  <c r="O16" i="6"/>
  <c r="O17" i="6"/>
  <c r="O18" i="6"/>
  <c r="O19" i="6"/>
  <c r="O20" i="6"/>
  <c r="O21" i="6"/>
  <c r="O22" i="6"/>
  <c r="A145" i="6"/>
  <c r="CZ93" i="1"/>
  <c r="U156" i="1"/>
  <c r="AV156" i="1"/>
  <c r="AV92" i="1"/>
  <c r="U92" i="1"/>
  <c r="CS218" i="1"/>
  <c r="CT218" i="1"/>
  <c r="AO218" i="1"/>
  <c r="AC218" i="1"/>
  <c r="Y218" i="1"/>
  <c r="R218" i="1"/>
  <c r="N218" i="1"/>
  <c r="CG24" i="1"/>
  <c r="CK24" i="1"/>
  <c r="CK94" i="1" s="1"/>
  <c r="CK158" i="1" s="1"/>
  <c r="BN24" i="1"/>
  <c r="BG24" i="1"/>
  <c r="BG94" i="1" s="1"/>
  <c r="BC24" i="1"/>
  <c r="BC94" i="1" s="1"/>
  <c r="BC158" i="1" s="1"/>
  <c r="AZ24" i="1"/>
  <c r="BO24" i="1"/>
  <c r="AY24" i="1"/>
  <c r="CS24" i="1"/>
  <c r="CR24" i="1"/>
  <c r="CR94" i="1" s="1"/>
  <c r="CR158" i="1" s="1"/>
  <c r="CZ158" i="1" s="1"/>
  <c r="F23" i="2"/>
  <c r="F25" i="1"/>
  <c r="AR24" i="1"/>
  <c r="AR94" i="1" s="1"/>
  <c r="BR24" i="1"/>
  <c r="AF24" i="1"/>
  <c r="AF94" i="1" s="1"/>
  <c r="AF158" i="1" s="1"/>
  <c r="CV24" i="1"/>
  <c r="AC24" i="1"/>
  <c r="AB24" i="1"/>
  <c r="AB94" i="1" s="1"/>
  <c r="AB158" i="1" s="1"/>
  <c r="AJ24" i="1"/>
  <c r="Q24" i="1"/>
  <c r="Q94" i="1" s="1"/>
  <c r="Q158" i="1" s="1"/>
  <c r="Y24" i="1"/>
  <c r="AG24" i="1"/>
  <c r="M24" i="1"/>
  <c r="M94" i="1" s="1"/>
  <c r="M158" i="1" s="1"/>
  <c r="N24" i="1"/>
  <c r="R24" i="1"/>
  <c r="X24" i="1"/>
  <c r="X94" i="1" s="1"/>
  <c r="X158" i="1" s="1"/>
  <c r="CD24" i="1"/>
  <c r="CC24" i="1"/>
  <c r="CC94" i="1" s="1"/>
  <c r="CC158" i="1" s="1"/>
  <c r="CA12" i="1"/>
  <c r="CD218" i="1"/>
  <c r="BZ218" i="1"/>
  <c r="BO218" i="1"/>
  <c r="O23" i="2"/>
  <c r="BZ24" i="1"/>
  <c r="BY24" i="1"/>
  <c r="BY94" i="1" s="1"/>
  <c r="BY158" i="1" s="1"/>
  <c r="CA218" i="1"/>
  <c r="G24" i="2"/>
  <c r="G27" i="1" s="1"/>
  <c r="H24" i="2"/>
  <c r="H27" i="1" s="1"/>
  <c r="P2" i="6"/>
  <c r="A26" i="12"/>
  <c r="A23" i="2"/>
  <c r="A25" i="8" s="1"/>
  <c r="F25" i="8" s="1"/>
  <c r="A22" i="9"/>
  <c r="A22" i="10"/>
  <c r="C22" i="10" s="1"/>
  <c r="A22" i="11"/>
  <c r="O218" i="1"/>
  <c r="BP218" i="1"/>
  <c r="S218" i="1"/>
  <c r="AP218" i="1"/>
  <c r="Z218" i="1"/>
  <c r="AD218" i="1"/>
  <c r="V217" i="1"/>
  <c r="DZ218" i="1"/>
  <c r="A219" i="1"/>
  <c r="AN24" i="1"/>
  <c r="AO24" i="1"/>
  <c r="U23" i="1"/>
  <c r="DZ24" i="1"/>
  <c r="A25" i="1"/>
  <c r="J27" i="2"/>
  <c r="K27" i="2" s="1"/>
  <c r="A25" i="6"/>
  <c r="O129" i="6"/>
  <c r="O114" i="6"/>
  <c r="O56" i="6"/>
  <c r="O66" i="6"/>
  <c r="O171" i="6"/>
  <c r="N83" i="6" l="1"/>
  <c r="N82" i="6"/>
  <c r="P8" i="6"/>
  <c r="P13" i="6" s="1"/>
  <c r="DO25" i="1"/>
  <c r="DK25" i="1"/>
  <c r="DW92" i="1"/>
  <c r="EA92" i="1" s="1"/>
  <c r="O82" i="6"/>
  <c r="O83" i="6"/>
  <c r="DW156" i="1"/>
  <c r="EA156" i="1" s="1"/>
  <c r="DW23" i="1"/>
  <c r="EA23" i="1" s="1"/>
  <c r="DE219" i="1"/>
  <c r="DD219" i="1"/>
  <c r="BK24" i="1"/>
  <c r="DC25" i="1"/>
  <c r="DD25" i="1"/>
  <c r="DE25" i="1"/>
  <c r="AY157" i="1"/>
  <c r="BK157" i="1" s="1"/>
  <c r="BK93" i="1"/>
  <c r="BN157" i="1"/>
  <c r="BV157" i="1" s="1"/>
  <c r="BV93" i="1"/>
  <c r="BN94" i="1"/>
  <c r="BV24" i="1"/>
  <c r="AY94" i="1"/>
  <c r="AR158" i="1"/>
  <c r="CO158" i="1"/>
  <c r="BG158" i="1"/>
  <c r="CZ24" i="1"/>
  <c r="AV24" i="1"/>
  <c r="CO94" i="1"/>
  <c r="CO24" i="1"/>
  <c r="U94" i="1"/>
  <c r="DS25" i="1"/>
  <c r="DG25" i="1"/>
  <c r="P11" i="6"/>
  <c r="P12" i="6"/>
  <c r="P15" i="6"/>
  <c r="P16" i="6"/>
  <c r="P17" i="6"/>
  <c r="P18" i="6"/>
  <c r="P19" i="6"/>
  <c r="P20" i="6"/>
  <c r="P21" i="6"/>
  <c r="P22" i="6"/>
  <c r="A146" i="6"/>
  <c r="CZ94" i="1"/>
  <c r="AV157" i="1"/>
  <c r="AV93" i="1"/>
  <c r="U157" i="1"/>
  <c r="U93" i="1"/>
  <c r="CT219" i="1"/>
  <c r="CS219" i="1"/>
  <c r="AO219" i="1"/>
  <c r="N219" i="1"/>
  <c r="AC219" i="1"/>
  <c r="Y219" i="1"/>
  <c r="R219" i="1"/>
  <c r="CG25" i="1"/>
  <c r="CK25" i="1"/>
  <c r="CK95" i="1" s="1"/>
  <c r="CK159" i="1" s="1"/>
  <c r="BN25" i="1"/>
  <c r="BG25" i="1"/>
  <c r="BG95" i="1" s="1"/>
  <c r="BG159" i="1" s="1"/>
  <c r="BC25" i="1"/>
  <c r="BC95" i="1" s="1"/>
  <c r="BO25" i="1"/>
  <c r="AZ25" i="1"/>
  <c r="AY25" i="1"/>
  <c r="CS25" i="1"/>
  <c r="CR25" i="1"/>
  <c r="CR95" i="1" s="1"/>
  <c r="CR159" i="1" s="1"/>
  <c r="CZ159" i="1" s="1"/>
  <c r="F24" i="2"/>
  <c r="F26" i="1"/>
  <c r="AR25" i="1"/>
  <c r="AR95" i="1" s="1"/>
  <c r="CV25" i="1"/>
  <c r="N25" i="1"/>
  <c r="AC25" i="1"/>
  <c r="AB25" i="1"/>
  <c r="AB95" i="1" s="1"/>
  <c r="AB159" i="1" s="1"/>
  <c r="AJ25" i="1"/>
  <c r="R25" i="1"/>
  <c r="Q25" i="1"/>
  <c r="Q95" i="1" s="1"/>
  <c r="Q159" i="1" s="1"/>
  <c r="Y25" i="1"/>
  <c r="X25" i="1"/>
  <c r="X95" i="1" s="1"/>
  <c r="X159" i="1" s="1"/>
  <c r="BR25" i="1"/>
  <c r="AG25" i="1"/>
  <c r="M25" i="1"/>
  <c r="M95" i="1" s="1"/>
  <c r="M159" i="1" s="1"/>
  <c r="AF25" i="1"/>
  <c r="AF95" i="1" s="1"/>
  <c r="AF159" i="1" s="1"/>
  <c r="CD25" i="1"/>
  <c r="CC25" i="1"/>
  <c r="CC95" i="1" s="1"/>
  <c r="CC159" i="1" s="1"/>
  <c r="CA11" i="1"/>
  <c r="CD219" i="1"/>
  <c r="BZ219" i="1"/>
  <c r="BO219" i="1"/>
  <c r="O24" i="2"/>
  <c r="BZ25" i="1"/>
  <c r="BY25" i="1"/>
  <c r="BY95" i="1" s="1"/>
  <c r="BY159" i="1" s="1"/>
  <c r="CA219" i="1"/>
  <c r="G25" i="2"/>
  <c r="G28" i="1" s="1"/>
  <c r="H25" i="2"/>
  <c r="H28" i="1" s="1"/>
  <c r="Q2" i="6"/>
  <c r="A23" i="11"/>
  <c r="A27" i="12"/>
  <c r="A24" i="2"/>
  <c r="A26" i="8" s="1"/>
  <c r="F26" i="8" s="1"/>
  <c r="A23" i="9"/>
  <c r="A23" i="10"/>
  <c r="C23" i="10" s="1"/>
  <c r="AZ218" i="1"/>
  <c r="BA218" i="1" s="1"/>
  <c r="O219" i="1"/>
  <c r="BP219" i="1"/>
  <c r="S219" i="1"/>
  <c r="AP219" i="1"/>
  <c r="Z219" i="1"/>
  <c r="BA219" i="1"/>
  <c r="AD219" i="1"/>
  <c r="AZ219" i="1"/>
  <c r="V218" i="1"/>
  <c r="DZ219" i="1"/>
  <c r="A220" i="1"/>
  <c r="AO25" i="1"/>
  <c r="AN25" i="1"/>
  <c r="U24" i="1"/>
  <c r="A26" i="1"/>
  <c r="DZ25" i="1"/>
  <c r="J28" i="2"/>
  <c r="K28" i="2" s="1"/>
  <c r="A26" i="6"/>
  <c r="P114" i="6"/>
  <c r="P129" i="6"/>
  <c r="P56" i="6"/>
  <c r="P171" i="6"/>
  <c r="DW93" i="1" l="1"/>
  <c r="EA93" i="1" s="1"/>
  <c r="DW157" i="1"/>
  <c r="EA157" i="1" s="1"/>
  <c r="Q8" i="6"/>
  <c r="DW24" i="1"/>
  <c r="EA24" i="1" s="1"/>
  <c r="P14" i="6"/>
  <c r="P66" i="6"/>
  <c r="P23" i="6"/>
  <c r="DK26" i="1"/>
  <c r="DO26" i="1"/>
  <c r="DE220" i="1"/>
  <c r="DD220" i="1"/>
  <c r="DE26" i="1"/>
  <c r="DC26" i="1"/>
  <c r="DD26" i="1"/>
  <c r="AY158" i="1"/>
  <c r="BK158" i="1" s="1"/>
  <c r="BK94" i="1"/>
  <c r="AY95" i="1"/>
  <c r="BK25" i="1"/>
  <c r="AR159" i="1"/>
  <c r="BN95" i="1"/>
  <c r="BV25" i="1"/>
  <c r="DC159" i="1"/>
  <c r="BC159" i="1"/>
  <c r="CO159" i="1"/>
  <c r="BN158" i="1"/>
  <c r="BV158" i="1" s="1"/>
  <c r="BV94" i="1"/>
  <c r="CZ25" i="1"/>
  <c r="CO95" i="1"/>
  <c r="CO25" i="1"/>
  <c r="AV25" i="1"/>
  <c r="DG26" i="1"/>
  <c r="DC160" i="1"/>
  <c r="DS26" i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A147" i="6"/>
  <c r="CZ95" i="1"/>
  <c r="U158" i="1"/>
  <c r="AV158" i="1"/>
  <c r="AV94" i="1"/>
  <c r="CT220" i="1"/>
  <c r="CS220" i="1"/>
  <c r="AO220" i="1"/>
  <c r="AC220" i="1"/>
  <c r="N220" i="1"/>
  <c r="Y220" i="1"/>
  <c r="R220" i="1"/>
  <c r="CG26" i="1"/>
  <c r="CK26" i="1"/>
  <c r="CK96" i="1" s="1"/>
  <c r="CK160" i="1" s="1"/>
  <c r="BN26" i="1"/>
  <c r="BO26" i="1"/>
  <c r="BG26" i="1"/>
  <c r="BG96" i="1" s="1"/>
  <c r="BC26" i="1"/>
  <c r="BC96" i="1" s="1"/>
  <c r="BC160" i="1" s="1"/>
  <c r="AZ26" i="1"/>
  <c r="AY26" i="1"/>
  <c r="CS26" i="1"/>
  <c r="CR26" i="1"/>
  <c r="F25" i="2"/>
  <c r="F27" i="1"/>
  <c r="AR26" i="1"/>
  <c r="AR96" i="1" s="1"/>
  <c r="AR160" i="1" s="1"/>
  <c r="AJ26" i="1"/>
  <c r="AC26" i="1"/>
  <c r="M26" i="1"/>
  <c r="M96" i="1" s="1"/>
  <c r="M160" i="1" s="1"/>
  <c r="AB26" i="1"/>
  <c r="AB96" i="1" s="1"/>
  <c r="AB160" i="1" s="1"/>
  <c r="N26" i="1"/>
  <c r="R26" i="1"/>
  <c r="Q26" i="1"/>
  <c r="Q96" i="1" s="1"/>
  <c r="Q160" i="1" s="1"/>
  <c r="Y26" i="1"/>
  <c r="X26" i="1"/>
  <c r="X96" i="1" s="1"/>
  <c r="X160" i="1" s="1"/>
  <c r="BR26" i="1"/>
  <c r="AG26" i="1"/>
  <c r="AF26" i="1"/>
  <c r="AF96" i="1" s="1"/>
  <c r="AF160" i="1" s="1"/>
  <c r="CV26" i="1"/>
  <c r="AS26" i="1"/>
  <c r="CD26" i="1"/>
  <c r="CC26" i="1"/>
  <c r="CC96" i="1" s="1"/>
  <c r="CC160" i="1" s="1"/>
  <c r="BZ220" i="1"/>
  <c r="BO220" i="1"/>
  <c r="CD220" i="1"/>
  <c r="O25" i="2"/>
  <c r="BY26" i="1"/>
  <c r="BY96" i="1" s="1"/>
  <c r="BY160" i="1" s="1"/>
  <c r="BZ26" i="1"/>
  <c r="CA220" i="1"/>
  <c r="H26" i="2"/>
  <c r="H29" i="1" s="1"/>
  <c r="G26" i="2"/>
  <c r="G29" i="1" s="1"/>
  <c r="R2" i="6"/>
  <c r="A24" i="9"/>
  <c r="A24" i="10"/>
  <c r="C24" i="10" s="1"/>
  <c r="A28" i="12"/>
  <c r="A25" i="2"/>
  <c r="A27" i="8" s="1"/>
  <c r="F27" i="8" s="1"/>
  <c r="A24" i="11"/>
  <c r="AL280" i="1"/>
  <c r="O220" i="1"/>
  <c r="BP220" i="1"/>
  <c r="S220" i="1"/>
  <c r="AP220" i="1"/>
  <c r="Z220" i="1"/>
  <c r="BA220" i="1"/>
  <c r="AD220" i="1"/>
  <c r="AZ220" i="1"/>
  <c r="V219" i="1"/>
  <c r="A221" i="1"/>
  <c r="DZ220" i="1"/>
  <c r="AN26" i="1"/>
  <c r="AO26" i="1"/>
  <c r="U25" i="1"/>
  <c r="DZ26" i="1"/>
  <c r="A27" i="1"/>
  <c r="J29" i="2"/>
  <c r="K29" i="2" s="1"/>
  <c r="A27" i="6"/>
  <c r="Q66" i="6"/>
  <c r="Q114" i="6"/>
  <c r="Q129" i="6"/>
  <c r="Q56" i="6"/>
  <c r="Q171" i="6"/>
  <c r="R8" i="6" l="1"/>
  <c r="Q82" i="6"/>
  <c r="Q83" i="6"/>
  <c r="DW158" i="1"/>
  <c r="EA158" i="1" s="1"/>
  <c r="P82" i="6"/>
  <c r="P83" i="6"/>
  <c r="DO27" i="1"/>
  <c r="DK27" i="1"/>
  <c r="DW94" i="1"/>
  <c r="EA94" i="1" s="1"/>
  <c r="DW25" i="1"/>
  <c r="EA25" i="1" s="1"/>
  <c r="DD221" i="1"/>
  <c r="DE221" i="1"/>
  <c r="DE27" i="1"/>
  <c r="DD27" i="1"/>
  <c r="DC27" i="1"/>
  <c r="CO160" i="1"/>
  <c r="AY96" i="1"/>
  <c r="BK26" i="1"/>
  <c r="AY159" i="1"/>
  <c r="BK159" i="1" s="1"/>
  <c r="BK95" i="1"/>
  <c r="CZ26" i="1"/>
  <c r="CR96" i="1"/>
  <c r="CR160" i="1" s="1"/>
  <c r="CZ160" i="1" s="1"/>
  <c r="BN96" i="1"/>
  <c r="BV26" i="1"/>
  <c r="BN159" i="1"/>
  <c r="BV159" i="1" s="1"/>
  <c r="BV95" i="1"/>
  <c r="BG160" i="1"/>
  <c r="AV26" i="1"/>
  <c r="U95" i="1"/>
  <c r="CO96" i="1"/>
  <c r="CO26" i="1"/>
  <c r="DG27" i="1"/>
  <c r="DC161" i="1"/>
  <c r="DS27" i="1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A148" i="6"/>
  <c r="U159" i="1"/>
  <c r="AV159" i="1"/>
  <c r="AV95" i="1"/>
  <c r="CG27" i="1"/>
  <c r="CK27" i="1"/>
  <c r="CK97" i="1" s="1"/>
  <c r="CK161" i="1" s="1"/>
  <c r="BO27" i="1"/>
  <c r="BN27" i="1"/>
  <c r="BG27" i="1"/>
  <c r="BG97" i="1" s="1"/>
  <c r="BG161" i="1" s="1"/>
  <c r="BC27" i="1"/>
  <c r="BC97" i="1" s="1"/>
  <c r="BC161" i="1" s="1"/>
  <c r="AZ27" i="1"/>
  <c r="AY27" i="1"/>
  <c r="CS27" i="1"/>
  <c r="CR27" i="1"/>
  <c r="CR97" i="1" s="1"/>
  <c r="CR161" i="1" s="1"/>
  <c r="CZ161" i="1" s="1"/>
  <c r="CT221" i="1"/>
  <c r="CS221" i="1"/>
  <c r="AS221" i="1"/>
  <c r="AG221" i="1"/>
  <c r="AO221" i="1"/>
  <c r="AC221" i="1"/>
  <c r="Y221" i="1"/>
  <c r="R221" i="1"/>
  <c r="N221" i="1"/>
  <c r="F26" i="2"/>
  <c r="F28" i="1"/>
  <c r="AR27" i="1"/>
  <c r="AR97" i="1" s="1"/>
  <c r="AR161" i="1" s="1"/>
  <c r="AJ27" i="1"/>
  <c r="AG27" i="1"/>
  <c r="AB27" i="1"/>
  <c r="AB97" i="1" s="1"/>
  <c r="AB161" i="1" s="1"/>
  <c r="R27" i="1"/>
  <c r="Q27" i="1"/>
  <c r="Q97" i="1" s="1"/>
  <c r="Q161" i="1" s="1"/>
  <c r="M27" i="1"/>
  <c r="M97" i="1" s="1"/>
  <c r="M161" i="1" s="1"/>
  <c r="N27" i="1"/>
  <c r="Y27" i="1"/>
  <c r="X27" i="1"/>
  <c r="X97" i="1" s="1"/>
  <c r="X161" i="1" s="1"/>
  <c r="BR27" i="1"/>
  <c r="AF27" i="1"/>
  <c r="AF97" i="1" s="1"/>
  <c r="AF161" i="1" s="1"/>
  <c r="CV27" i="1"/>
  <c r="AC27" i="1"/>
  <c r="AS27" i="1"/>
  <c r="CD27" i="1"/>
  <c r="CC27" i="1"/>
  <c r="CC97" i="1" s="1"/>
  <c r="CC161" i="1" s="1"/>
  <c r="BO221" i="1"/>
  <c r="CD221" i="1"/>
  <c r="BZ221" i="1"/>
  <c r="O26" i="2"/>
  <c r="BZ27" i="1"/>
  <c r="BY27" i="1"/>
  <c r="BY97" i="1" s="1"/>
  <c r="BY161" i="1" s="1"/>
  <c r="CA221" i="1"/>
  <c r="H27" i="2"/>
  <c r="H30" i="1" s="1"/>
  <c r="G27" i="2"/>
  <c r="G30" i="1" s="1"/>
  <c r="S2" i="6"/>
  <c r="A29" i="12"/>
  <c r="A26" i="2"/>
  <c r="A28" i="8" s="1"/>
  <c r="F28" i="8" s="1"/>
  <c r="A25" i="9"/>
  <c r="A25" i="10"/>
  <c r="C25" i="10" s="1"/>
  <c r="A25" i="11"/>
  <c r="BP221" i="1"/>
  <c r="S221" i="1"/>
  <c r="O221" i="1"/>
  <c r="AP221" i="1"/>
  <c r="Z221" i="1"/>
  <c r="BA221" i="1"/>
  <c r="AD221" i="1"/>
  <c r="AZ221" i="1"/>
  <c r="V220" i="1"/>
  <c r="A222" i="1"/>
  <c r="DZ221" i="1"/>
  <c r="AO27" i="1"/>
  <c r="AN27" i="1"/>
  <c r="U26" i="1"/>
  <c r="DZ27" i="1"/>
  <c r="A28" i="1"/>
  <c r="J30" i="2"/>
  <c r="K30" i="2" s="1"/>
  <c r="A28" i="6"/>
  <c r="R56" i="6"/>
  <c r="R66" i="6"/>
  <c r="R114" i="6"/>
  <c r="R129" i="6"/>
  <c r="R171" i="6"/>
  <c r="S8" i="6" l="1"/>
  <c r="S17" i="6" s="1"/>
  <c r="DW95" i="1"/>
  <c r="EA95" i="1" s="1"/>
  <c r="DW159" i="1"/>
  <c r="EA159" i="1" s="1"/>
  <c r="DO28" i="1"/>
  <c r="DK28" i="1"/>
  <c r="R83" i="6"/>
  <c r="R82" i="6"/>
  <c r="DW26" i="1"/>
  <c r="EA26" i="1" s="1"/>
  <c r="DD222" i="1"/>
  <c r="DE222" i="1"/>
  <c r="DC28" i="1"/>
  <c r="DE28" i="1"/>
  <c r="DD28" i="1"/>
  <c r="AY160" i="1"/>
  <c r="BK160" i="1" s="1"/>
  <c r="BK96" i="1"/>
  <c r="CO161" i="1"/>
  <c r="BK27" i="1"/>
  <c r="CZ96" i="1"/>
  <c r="AY97" i="1"/>
  <c r="BN160" i="1"/>
  <c r="BV160" i="1" s="1"/>
  <c r="BV96" i="1"/>
  <c r="BN97" i="1"/>
  <c r="BV27" i="1"/>
  <c r="CZ27" i="1"/>
  <c r="AV27" i="1"/>
  <c r="CO97" i="1"/>
  <c r="CO27" i="1"/>
  <c r="DG28" i="1"/>
  <c r="DS28" i="1"/>
  <c r="S11" i="6"/>
  <c r="S12" i="6"/>
  <c r="S13" i="6"/>
  <c r="S14" i="6"/>
  <c r="S15" i="6"/>
  <c r="S16" i="6"/>
  <c r="S18" i="6"/>
  <c r="S19" i="6"/>
  <c r="S20" i="6"/>
  <c r="S21" i="6"/>
  <c r="S22" i="6"/>
  <c r="S23" i="6"/>
  <c r="S24" i="6"/>
  <c r="S25" i="6"/>
  <c r="S26" i="6"/>
  <c r="A149" i="6"/>
  <c r="CZ97" i="1"/>
  <c r="U160" i="1"/>
  <c r="U96" i="1"/>
  <c r="AV160" i="1"/>
  <c r="AV96" i="1"/>
  <c r="CT222" i="1"/>
  <c r="CS222" i="1"/>
  <c r="AO222" i="1"/>
  <c r="AG222" i="1"/>
  <c r="AS222" i="1"/>
  <c r="Y222" i="1"/>
  <c r="R222" i="1"/>
  <c r="N222" i="1"/>
  <c r="AC222" i="1"/>
  <c r="CG28" i="1"/>
  <c r="BO28" i="1"/>
  <c r="CK28" i="1"/>
  <c r="CK98" i="1" s="1"/>
  <c r="CK162" i="1" s="1"/>
  <c r="BN28" i="1"/>
  <c r="BG28" i="1"/>
  <c r="BG98" i="1" s="1"/>
  <c r="BG162" i="1" s="1"/>
  <c r="BC28" i="1"/>
  <c r="BC98" i="1" s="1"/>
  <c r="BC162" i="1" s="1"/>
  <c r="AZ28" i="1"/>
  <c r="CS28" i="1"/>
  <c r="AY28" i="1"/>
  <c r="CR28" i="1"/>
  <c r="CR98" i="1" s="1"/>
  <c r="CR162" i="1" s="1"/>
  <c r="CZ162" i="1" s="1"/>
  <c r="AR28" i="1"/>
  <c r="AR98" i="1" s="1"/>
  <c r="F27" i="2"/>
  <c r="F29" i="1"/>
  <c r="AJ28" i="1"/>
  <c r="AF28" i="1"/>
  <c r="AF98" i="1" s="1"/>
  <c r="AF162" i="1" s="1"/>
  <c r="AC28" i="1"/>
  <c r="AB28" i="1"/>
  <c r="AB98" i="1" s="1"/>
  <c r="AB162" i="1" s="1"/>
  <c r="R28" i="1"/>
  <c r="Q28" i="1"/>
  <c r="Q98" i="1" s="1"/>
  <c r="Q162" i="1" s="1"/>
  <c r="Y28" i="1"/>
  <c r="M28" i="1"/>
  <c r="M98" i="1" s="1"/>
  <c r="M162" i="1" s="1"/>
  <c r="X28" i="1"/>
  <c r="X98" i="1" s="1"/>
  <c r="X162" i="1" s="1"/>
  <c r="N28" i="1"/>
  <c r="BR28" i="1"/>
  <c r="CV28" i="1"/>
  <c r="AG28" i="1"/>
  <c r="AS28" i="1"/>
  <c r="CD28" i="1"/>
  <c r="CC28" i="1"/>
  <c r="CC98" i="1" s="1"/>
  <c r="CC162" i="1" s="1"/>
  <c r="BO222" i="1"/>
  <c r="CD222" i="1"/>
  <c r="BZ222" i="1"/>
  <c r="O27" i="2"/>
  <c r="BZ28" i="1"/>
  <c r="BY28" i="1"/>
  <c r="BY98" i="1" s="1"/>
  <c r="BY162" i="1" s="1"/>
  <c r="CA222" i="1"/>
  <c r="G28" i="2"/>
  <c r="G31" i="1" s="1"/>
  <c r="H28" i="2"/>
  <c r="H31" i="1" s="1"/>
  <c r="T2" i="6"/>
  <c r="A26" i="10"/>
  <c r="C26" i="10" s="1"/>
  <c r="A26" i="11"/>
  <c r="A30" i="12"/>
  <c r="A27" i="2"/>
  <c r="A29" i="8" s="1"/>
  <c r="F29" i="8" s="1"/>
  <c r="A26" i="9"/>
  <c r="BP222" i="1"/>
  <c r="S222" i="1"/>
  <c r="O222" i="1"/>
  <c r="AP222" i="1"/>
  <c r="Z222" i="1"/>
  <c r="BA222" i="1"/>
  <c r="AD222" i="1"/>
  <c r="AZ222" i="1"/>
  <c r="AT222" i="1"/>
  <c r="V221" i="1"/>
  <c r="DZ222" i="1"/>
  <c r="A223" i="1"/>
  <c r="AN28" i="1"/>
  <c r="AO28" i="1"/>
  <c r="U27" i="1"/>
  <c r="A29" i="1"/>
  <c r="DZ28" i="1"/>
  <c r="J31" i="2"/>
  <c r="K31" i="2" s="1"/>
  <c r="A29" i="6"/>
  <c r="S56" i="6"/>
  <c r="S114" i="6"/>
  <c r="S66" i="6"/>
  <c r="S171" i="6"/>
  <c r="DW27" i="1" l="1"/>
  <c r="EA27" i="1" s="1"/>
  <c r="S83" i="6"/>
  <c r="S82" i="6"/>
  <c r="S129" i="6"/>
  <c r="DW160" i="1"/>
  <c r="EA160" i="1" s="1"/>
  <c r="DW96" i="1"/>
  <c r="EA96" i="1" s="1"/>
  <c r="DK29" i="1"/>
  <c r="DO29" i="1"/>
  <c r="T8" i="6"/>
  <c r="T19" i="6" s="1"/>
  <c r="DD223" i="1"/>
  <c r="DE223" i="1"/>
  <c r="DC29" i="1"/>
  <c r="DE29" i="1"/>
  <c r="DD29" i="1"/>
  <c r="AY161" i="1"/>
  <c r="BK161" i="1" s="1"/>
  <c r="BK97" i="1"/>
  <c r="BK28" i="1"/>
  <c r="DC162" i="1"/>
  <c r="BN98" i="1"/>
  <c r="BV28" i="1"/>
  <c r="BN161" i="1"/>
  <c r="BV161" i="1" s="1"/>
  <c r="BV97" i="1"/>
  <c r="AR162" i="1"/>
  <c r="CO162" i="1"/>
  <c r="AY98" i="1"/>
  <c r="CZ28" i="1"/>
  <c r="CO98" i="1"/>
  <c r="CO28" i="1"/>
  <c r="AV28" i="1"/>
  <c r="U98" i="1"/>
  <c r="DG29" i="1"/>
  <c r="DC163" i="1"/>
  <c r="DS29" i="1"/>
  <c r="T11" i="6"/>
  <c r="T12" i="6"/>
  <c r="T13" i="6"/>
  <c r="T14" i="6"/>
  <c r="T21" i="6"/>
  <c r="T22" i="6"/>
  <c r="T23" i="6"/>
  <c r="T24" i="6"/>
  <c r="A150" i="6"/>
  <c r="CZ98" i="1"/>
  <c r="AV97" i="1"/>
  <c r="AV161" i="1"/>
  <c r="U161" i="1"/>
  <c r="U97" i="1"/>
  <c r="CT223" i="1"/>
  <c r="CS223" i="1"/>
  <c r="AG223" i="1"/>
  <c r="AS223" i="1"/>
  <c r="AO223" i="1"/>
  <c r="R223" i="1"/>
  <c r="N223" i="1"/>
  <c r="AC223" i="1"/>
  <c r="Y223" i="1"/>
  <c r="BC29" i="1"/>
  <c r="BC99" i="1" s="1"/>
  <c r="BC163" i="1" s="1"/>
  <c r="CK29" i="1"/>
  <c r="CK99" i="1" s="1"/>
  <c r="CK163" i="1" s="1"/>
  <c r="BN29" i="1"/>
  <c r="BG29" i="1"/>
  <c r="BG99" i="1" s="1"/>
  <c r="BG163" i="1" s="1"/>
  <c r="CS29" i="1"/>
  <c r="AZ29" i="1"/>
  <c r="CR29" i="1"/>
  <c r="AY29" i="1"/>
  <c r="CG29" i="1"/>
  <c r="BO29" i="1"/>
  <c r="F28" i="2"/>
  <c r="F30" i="1"/>
  <c r="AR29" i="1"/>
  <c r="AR99" i="1" s="1"/>
  <c r="AR163" i="1" s="1"/>
  <c r="X29" i="1"/>
  <c r="X99" i="1" s="1"/>
  <c r="X163" i="1" s="1"/>
  <c r="R29" i="1"/>
  <c r="CV29" i="1"/>
  <c r="AS29" i="1"/>
  <c r="Y29" i="1"/>
  <c r="AJ29" i="1"/>
  <c r="BR29" i="1"/>
  <c r="M29" i="1"/>
  <c r="M99" i="1" s="1"/>
  <c r="M163" i="1" s="1"/>
  <c r="AG29" i="1"/>
  <c r="AF29" i="1"/>
  <c r="AF99" i="1" s="1"/>
  <c r="AF163" i="1" s="1"/>
  <c r="AC29" i="1"/>
  <c r="AB29" i="1"/>
  <c r="AB99" i="1" s="1"/>
  <c r="AB163" i="1" s="1"/>
  <c r="N29" i="1"/>
  <c r="Q29" i="1"/>
  <c r="Q99" i="1" s="1"/>
  <c r="Q163" i="1" s="1"/>
  <c r="CD29" i="1"/>
  <c r="CC29" i="1"/>
  <c r="CC99" i="1" s="1"/>
  <c r="CC163" i="1" s="1"/>
  <c r="BO223" i="1"/>
  <c r="CD223" i="1"/>
  <c r="BZ223" i="1"/>
  <c r="O28" i="2"/>
  <c r="BZ29" i="1"/>
  <c r="BY29" i="1"/>
  <c r="BY99" i="1" s="1"/>
  <c r="BY163" i="1" s="1"/>
  <c r="CA223" i="1"/>
  <c r="H29" i="2"/>
  <c r="H32" i="1" s="1"/>
  <c r="G29" i="2"/>
  <c r="G32" i="1" s="1"/>
  <c r="U2" i="6"/>
  <c r="A27" i="9"/>
  <c r="A27" i="10"/>
  <c r="C27" i="10" s="1"/>
  <c r="A27" i="11"/>
  <c r="A31" i="12"/>
  <c r="A28" i="2"/>
  <c r="A30" i="8" s="1"/>
  <c r="F30" i="8" s="1"/>
  <c r="AH222" i="1"/>
  <c r="BP223" i="1"/>
  <c r="S223" i="1"/>
  <c r="AP223" i="1"/>
  <c r="Z223" i="1"/>
  <c r="O223" i="1"/>
  <c r="BA223" i="1"/>
  <c r="AT223" i="1"/>
  <c r="AD223" i="1"/>
  <c r="AH223" i="1"/>
  <c r="AZ223" i="1"/>
  <c r="V222" i="1"/>
  <c r="DZ223" i="1"/>
  <c r="A224" i="1"/>
  <c r="AN29" i="1"/>
  <c r="AO29" i="1"/>
  <c r="U28" i="1"/>
  <c r="DZ29" i="1"/>
  <c r="A30" i="1"/>
  <c r="J32" i="2"/>
  <c r="K32" i="2" s="1"/>
  <c r="A30" i="6"/>
  <c r="T66" i="6"/>
  <c r="T129" i="6"/>
  <c r="T171" i="6"/>
  <c r="DW161" i="1" l="1"/>
  <c r="U8" i="6"/>
  <c r="T114" i="6"/>
  <c r="T17" i="6"/>
  <c r="T26" i="6"/>
  <c r="T16" i="6"/>
  <c r="DK30" i="1"/>
  <c r="DO30" i="1"/>
  <c r="T25" i="6"/>
  <c r="T15" i="6"/>
  <c r="DW28" i="1"/>
  <c r="EA28" i="1" s="1"/>
  <c r="T20" i="6"/>
  <c r="T18" i="6"/>
  <c r="DW97" i="1"/>
  <c r="EA97" i="1" s="1"/>
  <c r="T56" i="6"/>
  <c r="T27" i="6"/>
  <c r="T83" i="6"/>
  <c r="T82" i="6"/>
  <c r="DD224" i="1"/>
  <c r="DE224" i="1"/>
  <c r="DC30" i="1"/>
  <c r="DE30" i="1"/>
  <c r="DD30" i="1"/>
  <c r="BK29" i="1"/>
  <c r="AY162" i="1"/>
  <c r="BK162" i="1" s="1"/>
  <c r="BK98" i="1"/>
  <c r="EA161" i="1"/>
  <c r="BN99" i="1"/>
  <c r="BV29" i="1"/>
  <c r="CO163" i="1"/>
  <c r="AY99" i="1"/>
  <c r="CZ29" i="1"/>
  <c r="CR99" i="1"/>
  <c r="CR163" i="1" s="1"/>
  <c r="CZ163" i="1" s="1"/>
  <c r="BN162" i="1"/>
  <c r="BV162" i="1" s="1"/>
  <c r="BV98" i="1"/>
  <c r="AV29" i="1"/>
  <c r="CO99" i="1"/>
  <c r="CO29" i="1"/>
  <c r="DS30" i="1"/>
  <c r="DG30" i="1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A151" i="6"/>
  <c r="AV162" i="1"/>
  <c r="AV98" i="1"/>
  <c r="U162" i="1"/>
  <c r="CK30" i="1"/>
  <c r="CK100" i="1" s="1"/>
  <c r="CK164" i="1" s="1"/>
  <c r="BN30" i="1"/>
  <c r="BG30" i="1"/>
  <c r="BG100" i="1" s="1"/>
  <c r="BG164" i="1" s="1"/>
  <c r="BC30" i="1"/>
  <c r="BC100" i="1" s="1"/>
  <c r="BC164" i="1" s="1"/>
  <c r="AZ30" i="1"/>
  <c r="AY30" i="1"/>
  <c r="CS30" i="1"/>
  <c r="CR30" i="1"/>
  <c r="BO30" i="1"/>
  <c r="CG30" i="1"/>
  <c r="CT224" i="1"/>
  <c r="CS224" i="1"/>
  <c r="AG224" i="1"/>
  <c r="AO224" i="1"/>
  <c r="AS224" i="1"/>
  <c r="N224" i="1"/>
  <c r="AC224" i="1"/>
  <c r="Y224" i="1"/>
  <c r="R224" i="1"/>
  <c r="AR30" i="1"/>
  <c r="AR100" i="1" s="1"/>
  <c r="AR164" i="1" s="1"/>
  <c r="F29" i="2"/>
  <c r="F31" i="1"/>
  <c r="N30" i="1"/>
  <c r="CV30" i="1"/>
  <c r="BR30" i="1"/>
  <c r="AS30" i="1"/>
  <c r="Y30" i="1"/>
  <c r="X30" i="1"/>
  <c r="X100" i="1" s="1"/>
  <c r="X164" i="1" s="1"/>
  <c r="AG30" i="1"/>
  <c r="AF30" i="1"/>
  <c r="AF100" i="1" s="1"/>
  <c r="AF164" i="1" s="1"/>
  <c r="M30" i="1"/>
  <c r="M100" i="1" s="1"/>
  <c r="M164" i="1" s="1"/>
  <c r="AC30" i="1"/>
  <c r="AB30" i="1"/>
  <c r="AB100" i="1" s="1"/>
  <c r="AB164" i="1" s="1"/>
  <c r="R30" i="1"/>
  <c r="Q30" i="1"/>
  <c r="Q100" i="1" s="1"/>
  <c r="Q164" i="1" s="1"/>
  <c r="AJ30" i="1"/>
  <c r="CD30" i="1"/>
  <c r="CC30" i="1"/>
  <c r="CC100" i="1" s="1"/>
  <c r="CC164" i="1" s="1"/>
  <c r="CD224" i="1"/>
  <c r="BZ224" i="1"/>
  <c r="BO224" i="1"/>
  <c r="O29" i="2"/>
  <c r="BY30" i="1"/>
  <c r="BY100" i="1" s="1"/>
  <c r="BY164" i="1" s="1"/>
  <c r="BZ30" i="1"/>
  <c r="CA224" i="1"/>
  <c r="G30" i="2"/>
  <c r="G33" i="1" s="1"/>
  <c r="H30" i="2"/>
  <c r="H33" i="1" s="1"/>
  <c r="V2" i="6"/>
  <c r="A28" i="9"/>
  <c r="A28" i="10"/>
  <c r="C28" i="10" s="1"/>
  <c r="A32" i="12"/>
  <c r="A29" i="2"/>
  <c r="A31" i="8" s="1"/>
  <c r="F31" i="8" s="1"/>
  <c r="A28" i="11"/>
  <c r="BP224" i="1"/>
  <c r="S224" i="1"/>
  <c r="AP224" i="1"/>
  <c r="Z224" i="1"/>
  <c r="O224" i="1"/>
  <c r="BA224" i="1"/>
  <c r="AT224" i="1"/>
  <c r="AD224" i="1"/>
  <c r="AH224" i="1"/>
  <c r="AZ224" i="1"/>
  <c r="V223" i="1"/>
  <c r="DZ224" i="1"/>
  <c r="A225" i="1"/>
  <c r="AN30" i="1"/>
  <c r="AO30" i="1"/>
  <c r="U29" i="1"/>
  <c r="DZ30" i="1"/>
  <c r="A31" i="1"/>
  <c r="J33" i="2"/>
  <c r="K33" i="2" s="1"/>
  <c r="A31" i="6"/>
  <c r="U114" i="6"/>
  <c r="U56" i="6"/>
  <c r="U66" i="6"/>
  <c r="U129" i="6"/>
  <c r="U171" i="6"/>
  <c r="DW29" i="1" l="1"/>
  <c r="EA29" i="1" s="1"/>
  <c r="DO31" i="1"/>
  <c r="DK31" i="1"/>
  <c r="U83" i="6"/>
  <c r="U82" i="6"/>
  <c r="DW162" i="1"/>
  <c r="EA162" i="1" s="1"/>
  <c r="DW98" i="1"/>
  <c r="EA98" i="1" s="1"/>
  <c r="V8" i="6"/>
  <c r="V16" i="6" s="1"/>
  <c r="DD225" i="1"/>
  <c r="DE225" i="1"/>
  <c r="DD31" i="1"/>
  <c r="DC31" i="1"/>
  <c r="DE31" i="1"/>
  <c r="AY163" i="1"/>
  <c r="BK163" i="1" s="1"/>
  <c r="BK99" i="1"/>
  <c r="AY100" i="1"/>
  <c r="BK30" i="1"/>
  <c r="CZ99" i="1"/>
  <c r="DC164" i="1"/>
  <c r="BN163" i="1"/>
  <c r="BV163" i="1" s="1"/>
  <c r="BV99" i="1"/>
  <c r="CO164" i="1"/>
  <c r="BN100" i="1"/>
  <c r="BV30" i="1"/>
  <c r="CZ30" i="1"/>
  <c r="CR100" i="1"/>
  <c r="CR164" i="1" s="1"/>
  <c r="CZ164" i="1" s="1"/>
  <c r="AV30" i="1"/>
  <c r="CO100" i="1"/>
  <c r="CO30" i="1"/>
  <c r="DS31" i="1"/>
  <c r="DC165" i="1"/>
  <c r="DG31" i="1"/>
  <c r="V11" i="6"/>
  <c r="V12" i="6"/>
  <c r="V13" i="6"/>
  <c r="V14" i="6"/>
  <c r="V15" i="6"/>
  <c r="V17" i="6"/>
  <c r="V21" i="6"/>
  <c r="V22" i="6"/>
  <c r="V23" i="6"/>
  <c r="V24" i="6"/>
  <c r="V25" i="6"/>
  <c r="A152" i="6"/>
  <c r="AV163" i="1"/>
  <c r="AV99" i="1"/>
  <c r="U163" i="1"/>
  <c r="U99" i="1"/>
  <c r="CR31" i="1"/>
  <c r="CR101" i="1" s="1"/>
  <c r="CR165" i="1" s="1"/>
  <c r="CZ165" i="1" s="1"/>
  <c r="BG31" i="1"/>
  <c r="BG101" i="1" s="1"/>
  <c r="BG165" i="1" s="1"/>
  <c r="BC31" i="1"/>
  <c r="BC101" i="1" s="1"/>
  <c r="BC165" i="1" s="1"/>
  <c r="AZ31" i="1"/>
  <c r="AY31" i="1"/>
  <c r="BO31" i="1"/>
  <c r="CG31" i="1"/>
  <c r="CS31" i="1"/>
  <c r="CK31" i="1"/>
  <c r="CK101" i="1" s="1"/>
  <c r="CK165" i="1" s="1"/>
  <c r="BN31" i="1"/>
  <c r="CS225" i="1"/>
  <c r="CT225" i="1"/>
  <c r="AG225" i="1"/>
  <c r="AS225" i="1"/>
  <c r="AO225" i="1"/>
  <c r="N225" i="1"/>
  <c r="AC225" i="1"/>
  <c r="Y225" i="1"/>
  <c r="R225" i="1"/>
  <c r="F30" i="2"/>
  <c r="F32" i="1"/>
  <c r="AR31" i="1"/>
  <c r="AR101" i="1" s="1"/>
  <c r="AR165" i="1" s="1"/>
  <c r="CV31" i="1"/>
  <c r="BR31" i="1"/>
  <c r="Y31" i="1"/>
  <c r="X31" i="1"/>
  <c r="X101" i="1" s="1"/>
  <c r="X165" i="1" s="1"/>
  <c r="AS31" i="1"/>
  <c r="AK31" i="1"/>
  <c r="AJ31" i="1"/>
  <c r="AG31" i="1"/>
  <c r="AF31" i="1"/>
  <c r="AF101" i="1" s="1"/>
  <c r="AF165" i="1" s="1"/>
  <c r="AC31" i="1"/>
  <c r="AB31" i="1"/>
  <c r="AB101" i="1" s="1"/>
  <c r="AB165" i="1" s="1"/>
  <c r="M31" i="1"/>
  <c r="M101" i="1" s="1"/>
  <c r="M165" i="1" s="1"/>
  <c r="R31" i="1"/>
  <c r="Q31" i="1"/>
  <c r="Q101" i="1" s="1"/>
  <c r="Q165" i="1" s="1"/>
  <c r="N31" i="1"/>
  <c r="CD31" i="1"/>
  <c r="CC31" i="1"/>
  <c r="CC101" i="1" s="1"/>
  <c r="CC165" i="1" s="1"/>
  <c r="CD225" i="1"/>
  <c r="BZ225" i="1"/>
  <c r="BO225" i="1"/>
  <c r="O30" i="2"/>
  <c r="BZ31" i="1"/>
  <c r="BY31" i="1"/>
  <c r="BY101" i="1" s="1"/>
  <c r="BY165" i="1" s="1"/>
  <c r="CA225" i="1"/>
  <c r="H31" i="2"/>
  <c r="H34" i="1" s="1"/>
  <c r="G31" i="2"/>
  <c r="G34" i="1" s="1"/>
  <c r="W2" i="6"/>
  <c r="A29" i="9"/>
  <c r="A29" i="10"/>
  <c r="C29" i="10" s="1"/>
  <c r="A29" i="11"/>
  <c r="A33" i="12"/>
  <c r="A30" i="2"/>
  <c r="A32" i="8" s="1"/>
  <c r="F32" i="8" s="1"/>
  <c r="AP225" i="1"/>
  <c r="Z225" i="1"/>
  <c r="BA225" i="1"/>
  <c r="AT225" i="1"/>
  <c r="AD225" i="1"/>
  <c r="O225" i="1"/>
  <c r="AH225" i="1"/>
  <c r="S225" i="1"/>
  <c r="BP225" i="1"/>
  <c r="AZ225" i="1"/>
  <c r="V224" i="1"/>
  <c r="A226" i="1"/>
  <c r="DZ225" i="1"/>
  <c r="AN31" i="1"/>
  <c r="AO31" i="1"/>
  <c r="U30" i="1"/>
  <c r="DZ31" i="1"/>
  <c r="A32" i="1"/>
  <c r="J34" i="2"/>
  <c r="K34" i="2" s="1"/>
  <c r="A32" i="6"/>
  <c r="V129" i="6"/>
  <c r="V56" i="6"/>
  <c r="V66" i="6"/>
  <c r="V171" i="6"/>
  <c r="CO165" i="1" l="1"/>
  <c r="DW99" i="1"/>
  <c r="EA99" i="1" s="1"/>
  <c r="DW163" i="1"/>
  <c r="EA163" i="1" s="1"/>
  <c r="DW30" i="1"/>
  <c r="EA30" i="1" s="1"/>
  <c r="W8" i="6"/>
  <c r="W11" i="6" s="1"/>
  <c r="V82" i="6"/>
  <c r="V83" i="6"/>
  <c r="V114" i="6"/>
  <c r="V20" i="6"/>
  <c r="V29" i="6"/>
  <c r="V19" i="6"/>
  <c r="V28" i="6"/>
  <c r="V18" i="6"/>
  <c r="V27" i="6"/>
  <c r="DO32" i="1"/>
  <c r="DK32" i="1"/>
  <c r="V26" i="6"/>
  <c r="DD226" i="1"/>
  <c r="DE226" i="1"/>
  <c r="DE32" i="1"/>
  <c r="DC32" i="1"/>
  <c r="DC166" i="1" s="1"/>
  <c r="DD32" i="1"/>
  <c r="AY164" i="1"/>
  <c r="BK164" i="1" s="1"/>
  <c r="BK100" i="1"/>
  <c r="BK31" i="1"/>
  <c r="CZ100" i="1"/>
  <c r="BN164" i="1"/>
  <c r="BV164" i="1" s="1"/>
  <c r="BV100" i="1"/>
  <c r="AY101" i="1"/>
  <c r="BN101" i="1"/>
  <c r="BV31" i="1"/>
  <c r="CZ31" i="1"/>
  <c r="AV31" i="1"/>
  <c r="CO101" i="1"/>
  <c r="CO31" i="1"/>
  <c r="DS32" i="1"/>
  <c r="DG32" i="1"/>
  <c r="W13" i="6"/>
  <c r="W14" i="6"/>
  <c r="W15" i="6"/>
  <c r="W16" i="6"/>
  <c r="W17" i="6"/>
  <c r="W18" i="6"/>
  <c r="W19" i="6"/>
  <c r="W20" i="6"/>
  <c r="W23" i="6"/>
  <c r="W24" i="6"/>
  <c r="W25" i="6"/>
  <c r="W26" i="6"/>
  <c r="W27" i="6"/>
  <c r="W28" i="6"/>
  <c r="W29" i="6"/>
  <c r="W30" i="6"/>
  <c r="A153" i="6"/>
  <c r="CZ101" i="1"/>
  <c r="U164" i="1"/>
  <c r="U100" i="1"/>
  <c r="AV164" i="1"/>
  <c r="AV100" i="1"/>
  <c r="CT226" i="1"/>
  <c r="CS226" i="1"/>
  <c r="AS226" i="1"/>
  <c r="AG226" i="1"/>
  <c r="AK226" i="1"/>
  <c r="AO226" i="1"/>
  <c r="N226" i="1"/>
  <c r="AC226" i="1"/>
  <c r="Y226" i="1"/>
  <c r="R226" i="1"/>
  <c r="AZ32" i="1"/>
  <c r="AY32" i="1"/>
  <c r="BO32" i="1"/>
  <c r="CG32" i="1"/>
  <c r="CS32" i="1"/>
  <c r="CR32" i="1"/>
  <c r="CR102" i="1" s="1"/>
  <c r="CR166" i="1" s="1"/>
  <c r="CZ166" i="1" s="1"/>
  <c r="CK32" i="1"/>
  <c r="CK102" i="1" s="1"/>
  <c r="CK166" i="1" s="1"/>
  <c r="BN32" i="1"/>
  <c r="BG32" i="1"/>
  <c r="BG102" i="1" s="1"/>
  <c r="BG166" i="1" s="1"/>
  <c r="BC32" i="1"/>
  <c r="BC102" i="1" s="1"/>
  <c r="BC166" i="1" s="1"/>
  <c r="AR32" i="1"/>
  <c r="AR102" i="1" s="1"/>
  <c r="AR166" i="1" s="1"/>
  <c r="F31" i="2"/>
  <c r="F33" i="1"/>
  <c r="AG32" i="1"/>
  <c r="AJ32" i="1"/>
  <c r="AF32" i="1"/>
  <c r="AF102" i="1" s="1"/>
  <c r="AF166" i="1" s="1"/>
  <c r="AS32" i="1"/>
  <c r="AK32" i="1"/>
  <c r="BR32" i="1"/>
  <c r="CV32" i="1"/>
  <c r="AC32" i="1"/>
  <c r="AB32" i="1"/>
  <c r="AB102" i="1" s="1"/>
  <c r="AB166" i="1" s="1"/>
  <c r="R32" i="1"/>
  <c r="Q32" i="1"/>
  <c r="Q102" i="1" s="1"/>
  <c r="Q166" i="1" s="1"/>
  <c r="N32" i="1"/>
  <c r="M32" i="1"/>
  <c r="M102" i="1" s="1"/>
  <c r="M166" i="1" s="1"/>
  <c r="Y32" i="1"/>
  <c r="X32" i="1"/>
  <c r="X102" i="1" s="1"/>
  <c r="X166" i="1" s="1"/>
  <c r="CD32" i="1"/>
  <c r="CC32" i="1"/>
  <c r="CC102" i="1" s="1"/>
  <c r="CC166" i="1" s="1"/>
  <c r="BO226" i="1"/>
  <c r="CD226" i="1"/>
  <c r="BZ226" i="1"/>
  <c r="O31" i="2"/>
  <c r="BY32" i="1"/>
  <c r="BY102" i="1" s="1"/>
  <c r="BY166" i="1" s="1"/>
  <c r="BZ32" i="1"/>
  <c r="CA226" i="1"/>
  <c r="H32" i="2"/>
  <c r="H35" i="1" s="1"/>
  <c r="G32" i="2"/>
  <c r="G35" i="1" s="1"/>
  <c r="X2" i="6"/>
  <c r="A34" i="12"/>
  <c r="A31" i="2"/>
  <c r="A33" i="8" s="1"/>
  <c r="F33" i="8" s="1"/>
  <c r="A30" i="9"/>
  <c r="A30" i="10"/>
  <c r="C30" i="10" s="1"/>
  <c r="A30" i="11"/>
  <c r="V225" i="1"/>
  <c r="BE286" i="1"/>
  <c r="BI286" i="1"/>
  <c r="AP226" i="1"/>
  <c r="Z226" i="1"/>
  <c r="BA226" i="1"/>
  <c r="AT226" i="1"/>
  <c r="AD226" i="1"/>
  <c r="O226" i="1"/>
  <c r="AH226" i="1"/>
  <c r="BP226" i="1"/>
  <c r="S226" i="1"/>
  <c r="AZ226" i="1"/>
  <c r="DZ226" i="1"/>
  <c r="A227" i="1"/>
  <c r="AN32" i="1"/>
  <c r="AO32" i="1"/>
  <c r="U31" i="1"/>
  <c r="DZ32" i="1"/>
  <c r="A33" i="1"/>
  <c r="J35" i="2"/>
  <c r="K35" i="2" s="1"/>
  <c r="A33" i="6"/>
  <c r="W114" i="6"/>
  <c r="W129" i="6"/>
  <c r="W56" i="6"/>
  <c r="W66" i="6"/>
  <c r="W171" i="6"/>
  <c r="DW100" i="1" l="1"/>
  <c r="DW164" i="1"/>
  <c r="EA164" i="1" s="1"/>
  <c r="W22" i="6"/>
  <c r="W12" i="6"/>
  <c r="DK33" i="1"/>
  <c r="DO33" i="1"/>
  <c r="W21" i="6"/>
  <c r="X8" i="6"/>
  <c r="X16" i="6" s="1"/>
  <c r="DW31" i="1"/>
  <c r="EA31" i="1" s="1"/>
  <c r="W83" i="6"/>
  <c r="W82" i="6"/>
  <c r="DE227" i="1"/>
  <c r="DD227" i="1"/>
  <c r="DE33" i="1"/>
  <c r="DD33" i="1"/>
  <c r="DC33" i="1"/>
  <c r="AY165" i="1"/>
  <c r="BK165" i="1" s="1"/>
  <c r="BK101" i="1"/>
  <c r="AY102" i="1"/>
  <c r="BK32" i="1"/>
  <c r="BN165" i="1"/>
  <c r="BV165" i="1" s="1"/>
  <c r="BV101" i="1"/>
  <c r="EA100" i="1"/>
  <c r="CO166" i="1"/>
  <c r="BN102" i="1"/>
  <c r="BV32" i="1"/>
  <c r="CZ32" i="1"/>
  <c r="CO102" i="1"/>
  <c r="CO32" i="1"/>
  <c r="AV32" i="1"/>
  <c r="DS33" i="1"/>
  <c r="DG33" i="1"/>
  <c r="DC167" i="1"/>
  <c r="X11" i="6"/>
  <c r="X12" i="6"/>
  <c r="X13" i="6"/>
  <c r="X14" i="6"/>
  <c r="X15" i="6"/>
  <c r="X17" i="6"/>
  <c r="X18" i="6"/>
  <c r="X19" i="6"/>
  <c r="X20" i="6"/>
  <c r="X21" i="6"/>
  <c r="X22" i="6"/>
  <c r="X23" i="6"/>
  <c r="X24" i="6"/>
  <c r="X25" i="6"/>
  <c r="X27" i="6"/>
  <c r="X28" i="6"/>
  <c r="X29" i="6"/>
  <c r="X30" i="6"/>
  <c r="X31" i="6"/>
  <c r="A154" i="6"/>
  <c r="CZ102" i="1"/>
  <c r="AV101" i="1"/>
  <c r="U165" i="1"/>
  <c r="U101" i="1"/>
  <c r="AV165" i="1"/>
  <c r="CS227" i="1"/>
  <c r="CT227" i="1"/>
  <c r="AG227" i="1"/>
  <c r="AS227" i="1"/>
  <c r="AO227" i="1"/>
  <c r="AK227" i="1"/>
  <c r="N227" i="1"/>
  <c r="AC227" i="1"/>
  <c r="Y227" i="1"/>
  <c r="R227" i="1"/>
  <c r="AY33" i="1"/>
  <c r="BO33" i="1"/>
  <c r="CS33" i="1"/>
  <c r="CG33" i="1"/>
  <c r="CR33" i="1"/>
  <c r="CR103" i="1" s="1"/>
  <c r="CR167" i="1" s="1"/>
  <c r="CZ167" i="1" s="1"/>
  <c r="CK33" i="1"/>
  <c r="CK103" i="1" s="1"/>
  <c r="CK167" i="1" s="1"/>
  <c r="BN33" i="1"/>
  <c r="BG33" i="1"/>
  <c r="BG103" i="1" s="1"/>
  <c r="BG167" i="1" s="1"/>
  <c r="BC33" i="1"/>
  <c r="BC103" i="1" s="1"/>
  <c r="BC167" i="1" s="1"/>
  <c r="AZ33" i="1"/>
  <c r="F32" i="2"/>
  <c r="F34" i="1"/>
  <c r="AR33" i="1"/>
  <c r="AR103" i="1" s="1"/>
  <c r="AR167" i="1" s="1"/>
  <c r="AG33" i="1"/>
  <c r="AF33" i="1"/>
  <c r="AF103" i="1" s="1"/>
  <c r="AF167" i="1" s="1"/>
  <c r="AJ33" i="1"/>
  <c r="BR33" i="1"/>
  <c r="AS33" i="1"/>
  <c r="AK33" i="1"/>
  <c r="CV33" i="1"/>
  <c r="AC33" i="1"/>
  <c r="AB33" i="1"/>
  <c r="AB103" i="1" s="1"/>
  <c r="AB167" i="1" s="1"/>
  <c r="R33" i="1"/>
  <c r="Y33" i="1"/>
  <c r="X33" i="1"/>
  <c r="X103" i="1" s="1"/>
  <c r="X167" i="1" s="1"/>
  <c r="Q33" i="1"/>
  <c r="Q103" i="1" s="1"/>
  <c r="Q167" i="1" s="1"/>
  <c r="M33" i="1"/>
  <c r="M103" i="1" s="1"/>
  <c r="M167" i="1" s="1"/>
  <c r="N33" i="1"/>
  <c r="CD33" i="1"/>
  <c r="CC33" i="1"/>
  <c r="CC103" i="1" s="1"/>
  <c r="CC167" i="1" s="1"/>
  <c r="CD227" i="1"/>
  <c r="BZ227" i="1"/>
  <c r="BO227" i="1"/>
  <c r="O32" i="2"/>
  <c r="BY33" i="1"/>
  <c r="BY103" i="1" s="1"/>
  <c r="BY167" i="1" s="1"/>
  <c r="BZ33" i="1"/>
  <c r="CA227" i="1"/>
  <c r="G33" i="2"/>
  <c r="G36" i="1" s="1"/>
  <c r="H33" i="2"/>
  <c r="H36" i="1" s="1"/>
  <c r="Y2" i="6"/>
  <c r="A31" i="11"/>
  <c r="A35" i="12"/>
  <c r="A32" i="2"/>
  <c r="A34" i="8" s="1"/>
  <c r="F34" i="8" s="1"/>
  <c r="A31" i="9"/>
  <c r="A31" i="10"/>
  <c r="C31" i="10" s="1"/>
  <c r="AP227" i="1"/>
  <c r="Z227" i="1"/>
  <c r="BA227" i="1"/>
  <c r="AT227" i="1"/>
  <c r="AD227" i="1"/>
  <c r="AH227" i="1"/>
  <c r="O227" i="1"/>
  <c r="BP227" i="1"/>
  <c r="S227" i="1"/>
  <c r="AZ227" i="1"/>
  <c r="A228" i="1"/>
  <c r="DZ227" i="1"/>
  <c r="V226" i="1"/>
  <c r="AN33" i="1"/>
  <c r="AO33" i="1"/>
  <c r="U32" i="1"/>
  <c r="A34" i="1"/>
  <c r="DZ33" i="1"/>
  <c r="J36" i="2"/>
  <c r="K36" i="2" s="1"/>
  <c r="X56" i="6"/>
  <c r="X129" i="6"/>
  <c r="X66" i="6"/>
  <c r="X114" i="6"/>
  <c r="A34" i="6"/>
  <c r="DW101" i="1" l="1"/>
  <c r="X83" i="6"/>
  <c r="X82" i="6"/>
  <c r="DO34" i="1"/>
  <c r="DK34" i="1"/>
  <c r="DW165" i="1"/>
  <c r="EA165" i="1" s="1"/>
  <c r="DW32" i="1"/>
  <c r="EA32" i="1" s="1"/>
  <c r="X171" i="6"/>
  <c r="X26" i="6"/>
  <c r="Y8" i="6"/>
  <c r="Y171" i="6" s="1"/>
  <c r="DE228" i="1"/>
  <c r="DD228" i="1"/>
  <c r="DC34" i="1"/>
  <c r="DE34" i="1"/>
  <c r="DD34" i="1"/>
  <c r="AY103" i="1"/>
  <c r="BK33" i="1"/>
  <c r="AY166" i="1"/>
  <c r="BK166" i="1" s="1"/>
  <c r="BK102" i="1"/>
  <c r="EA101" i="1"/>
  <c r="BN103" i="1"/>
  <c r="BV33" i="1"/>
  <c r="BN166" i="1"/>
  <c r="BV166" i="1" s="1"/>
  <c r="BV102" i="1"/>
  <c r="CO167" i="1"/>
  <c r="CZ33" i="1"/>
  <c r="CO103" i="1"/>
  <c r="CO33" i="1"/>
  <c r="U102" i="1"/>
  <c r="AV33" i="1"/>
  <c r="DG34" i="1"/>
  <c r="DC168" i="1"/>
  <c r="DS34" i="1"/>
  <c r="Y13" i="6"/>
  <c r="Y14" i="6"/>
  <c r="Y15" i="6"/>
  <c r="Y21" i="6"/>
  <c r="Y23" i="6"/>
  <c r="Y24" i="6"/>
  <c r="Y25" i="6"/>
  <c r="Y31" i="6"/>
  <c r="A155" i="6"/>
  <c r="CZ103" i="1"/>
  <c r="U166" i="1"/>
  <c r="AV166" i="1"/>
  <c r="AV102" i="1"/>
  <c r="BO34" i="1"/>
  <c r="CS34" i="1"/>
  <c r="CR34" i="1"/>
  <c r="CR104" i="1" s="1"/>
  <c r="CR168" i="1" s="1"/>
  <c r="CZ168" i="1" s="1"/>
  <c r="CG34" i="1"/>
  <c r="CK34" i="1"/>
  <c r="CK104" i="1" s="1"/>
  <c r="CK168" i="1" s="1"/>
  <c r="BN34" i="1"/>
  <c r="BG34" i="1"/>
  <c r="BG104" i="1" s="1"/>
  <c r="BG168" i="1" s="1"/>
  <c r="BC34" i="1"/>
  <c r="BC104" i="1" s="1"/>
  <c r="BC168" i="1" s="1"/>
  <c r="AZ34" i="1"/>
  <c r="AY34" i="1"/>
  <c r="CT228" i="1"/>
  <c r="CS228" i="1"/>
  <c r="AK228" i="1"/>
  <c r="AG228" i="1"/>
  <c r="AS228" i="1"/>
  <c r="AO228" i="1"/>
  <c r="AC228" i="1"/>
  <c r="N228" i="1"/>
  <c r="Y228" i="1"/>
  <c r="R228" i="1"/>
  <c r="F33" i="2"/>
  <c r="F35" i="1"/>
  <c r="AR34" i="1"/>
  <c r="AR104" i="1" s="1"/>
  <c r="AR168" i="1" s="1"/>
  <c r="AS34" i="1"/>
  <c r="M34" i="1"/>
  <c r="M104" i="1" s="1"/>
  <c r="M168" i="1" s="1"/>
  <c r="BR34" i="1"/>
  <c r="AJ34" i="1"/>
  <c r="N34" i="1"/>
  <c r="CV34" i="1"/>
  <c r="AC34" i="1"/>
  <c r="AB34" i="1"/>
  <c r="AB104" i="1" s="1"/>
  <c r="AB168" i="1" s="1"/>
  <c r="R34" i="1"/>
  <c r="AK34" i="1"/>
  <c r="Q34" i="1"/>
  <c r="Q104" i="1" s="1"/>
  <c r="Q168" i="1" s="1"/>
  <c r="Y34" i="1"/>
  <c r="X34" i="1"/>
  <c r="X104" i="1" s="1"/>
  <c r="X168" i="1" s="1"/>
  <c r="AG34" i="1"/>
  <c r="AF34" i="1"/>
  <c r="AF104" i="1" s="1"/>
  <c r="AF168" i="1" s="1"/>
  <c r="CD34" i="1"/>
  <c r="CC34" i="1"/>
  <c r="CC104" i="1" s="1"/>
  <c r="CC168" i="1" s="1"/>
  <c r="BZ228" i="1"/>
  <c r="BO228" i="1"/>
  <c r="CD228" i="1"/>
  <c r="O33" i="2"/>
  <c r="BZ34" i="1"/>
  <c r="BY34" i="1"/>
  <c r="BY104" i="1" s="1"/>
  <c r="BY168" i="1" s="1"/>
  <c r="CA228" i="1"/>
  <c r="H34" i="2"/>
  <c r="H37" i="1" s="1"/>
  <c r="G34" i="2"/>
  <c r="G37" i="1" s="1"/>
  <c r="Z2" i="6"/>
  <c r="A32" i="9"/>
  <c r="A32" i="10"/>
  <c r="C32" i="10" s="1"/>
  <c r="A36" i="12"/>
  <c r="A33" i="2"/>
  <c r="A35" i="8" s="1"/>
  <c r="F35" i="8" s="1"/>
  <c r="A32" i="11"/>
  <c r="AL227" i="1"/>
  <c r="AP228" i="1"/>
  <c r="Z228" i="1"/>
  <c r="BA228" i="1"/>
  <c r="AT228" i="1"/>
  <c r="AD228" i="1"/>
  <c r="AH228" i="1"/>
  <c r="O228" i="1"/>
  <c r="BP228" i="1"/>
  <c r="AL228" i="1"/>
  <c r="S228" i="1"/>
  <c r="AZ228" i="1"/>
  <c r="A229" i="1"/>
  <c r="DZ228" i="1"/>
  <c r="V227" i="1"/>
  <c r="AO34" i="1"/>
  <c r="AN34" i="1"/>
  <c r="U33" i="1"/>
  <c r="DZ34" i="1"/>
  <c r="A35" i="1"/>
  <c r="J37" i="2"/>
  <c r="K37" i="2" s="1"/>
  <c r="Y66" i="6"/>
  <c r="Y129" i="6"/>
  <c r="A35" i="6"/>
  <c r="DW33" i="1" l="1"/>
  <c r="EA33" i="1" s="1"/>
  <c r="Y28" i="6"/>
  <c r="Y18" i="6"/>
  <c r="Y114" i="6"/>
  <c r="Z8" i="6"/>
  <c r="Z25" i="6" s="1"/>
  <c r="DW102" i="1"/>
  <c r="EA102" i="1" s="1"/>
  <c r="Y27" i="6"/>
  <c r="Y17" i="6"/>
  <c r="Y56" i="6"/>
  <c r="DW166" i="1"/>
  <c r="EA166" i="1" s="1"/>
  <c r="Y26" i="6"/>
  <c r="Y16" i="6"/>
  <c r="Y22" i="6"/>
  <c r="Y30" i="6"/>
  <c r="Y20" i="6"/>
  <c r="DO35" i="1"/>
  <c r="DK35" i="1"/>
  <c r="Y32" i="6"/>
  <c r="Y12" i="6"/>
  <c r="Y11" i="6"/>
  <c r="Y29" i="6"/>
  <c r="Y19" i="6"/>
  <c r="Y82" i="6"/>
  <c r="Y83" i="6"/>
  <c r="DE229" i="1"/>
  <c r="DD229" i="1"/>
  <c r="CO168" i="1"/>
  <c r="DC35" i="1"/>
  <c r="DD35" i="1"/>
  <c r="DE35" i="1"/>
  <c r="AY104" i="1"/>
  <c r="BK34" i="1"/>
  <c r="AY167" i="1"/>
  <c r="BK167" i="1" s="1"/>
  <c r="BK103" i="1"/>
  <c r="BN167" i="1"/>
  <c r="BV167" i="1" s="1"/>
  <c r="BV103" i="1"/>
  <c r="BN104" i="1"/>
  <c r="BV34" i="1"/>
  <c r="CZ34" i="1"/>
  <c r="CO104" i="1"/>
  <c r="CO34" i="1"/>
  <c r="AV34" i="1"/>
  <c r="DG35" i="1"/>
  <c r="DS35" i="1"/>
  <c r="DC169" i="1"/>
  <c r="Z11" i="6"/>
  <c r="Z12" i="6"/>
  <c r="Z17" i="6"/>
  <c r="Z18" i="6"/>
  <c r="Z19" i="6"/>
  <c r="Z20" i="6"/>
  <c r="Z21" i="6"/>
  <c r="Z22" i="6"/>
  <c r="Z27" i="6"/>
  <c r="Z28" i="6"/>
  <c r="Z29" i="6"/>
  <c r="Z30" i="6"/>
  <c r="Z31" i="6"/>
  <c r="Z32" i="6"/>
  <c r="A156" i="6"/>
  <c r="CZ104" i="1"/>
  <c r="AV167" i="1"/>
  <c r="AV103" i="1"/>
  <c r="U167" i="1"/>
  <c r="U103" i="1"/>
  <c r="BO35" i="1"/>
  <c r="CS35" i="1"/>
  <c r="CR35" i="1"/>
  <c r="CR105" i="1" s="1"/>
  <c r="CR169" i="1" s="1"/>
  <c r="CZ169" i="1" s="1"/>
  <c r="CG35" i="1"/>
  <c r="CK35" i="1"/>
  <c r="CK105" i="1" s="1"/>
  <c r="CK169" i="1" s="1"/>
  <c r="BN35" i="1"/>
  <c r="BG35" i="1"/>
  <c r="BG105" i="1" s="1"/>
  <c r="BG169" i="1" s="1"/>
  <c r="BC35" i="1"/>
  <c r="BC105" i="1" s="1"/>
  <c r="BC169" i="1" s="1"/>
  <c r="AZ35" i="1"/>
  <c r="AY35" i="1"/>
  <c r="CS229" i="1"/>
  <c r="CT229" i="1"/>
  <c r="AG229" i="1"/>
  <c r="AO229" i="1"/>
  <c r="AK229" i="1"/>
  <c r="AS229" i="1"/>
  <c r="AC229" i="1"/>
  <c r="Y229" i="1"/>
  <c r="R229" i="1"/>
  <c r="N229" i="1"/>
  <c r="F34" i="2"/>
  <c r="F36" i="1"/>
  <c r="AR35" i="1"/>
  <c r="AR105" i="1" s="1"/>
  <c r="AR169" i="1" s="1"/>
  <c r="AG35" i="1"/>
  <c r="AJ35" i="1"/>
  <c r="CV35" i="1"/>
  <c r="AC35" i="1"/>
  <c r="AB35" i="1"/>
  <c r="AB105" i="1" s="1"/>
  <c r="AB169" i="1" s="1"/>
  <c r="M35" i="1"/>
  <c r="M105" i="1" s="1"/>
  <c r="M169" i="1" s="1"/>
  <c r="R35" i="1"/>
  <c r="N35" i="1"/>
  <c r="Q35" i="1"/>
  <c r="Q105" i="1" s="1"/>
  <c r="Q169" i="1" s="1"/>
  <c r="AS35" i="1"/>
  <c r="AK35" i="1"/>
  <c r="Y35" i="1"/>
  <c r="X35" i="1"/>
  <c r="X105" i="1" s="1"/>
  <c r="X169" i="1" s="1"/>
  <c r="AF35" i="1"/>
  <c r="AF105" i="1" s="1"/>
  <c r="AF169" i="1" s="1"/>
  <c r="BR35" i="1"/>
  <c r="CD35" i="1"/>
  <c r="CC35" i="1"/>
  <c r="CC105" i="1" s="1"/>
  <c r="CC169" i="1" s="1"/>
  <c r="BO229" i="1"/>
  <c r="CD229" i="1"/>
  <c r="BZ229" i="1"/>
  <c r="O34" i="2"/>
  <c r="BZ35" i="1"/>
  <c r="BY35" i="1"/>
  <c r="BY105" i="1" s="1"/>
  <c r="BY169" i="1" s="1"/>
  <c r="CA229" i="1"/>
  <c r="H35" i="2"/>
  <c r="H38" i="1" s="1"/>
  <c r="G35" i="2"/>
  <c r="G38" i="1" s="1"/>
  <c r="AA2" i="6"/>
  <c r="A37" i="12"/>
  <c r="A34" i="2"/>
  <c r="A36" i="8" s="1"/>
  <c r="F36" i="8" s="1"/>
  <c r="A33" i="9"/>
  <c r="A33" i="10"/>
  <c r="C33" i="10" s="1"/>
  <c r="A33" i="11"/>
  <c r="BA229" i="1"/>
  <c r="AT229" i="1"/>
  <c r="AD229" i="1"/>
  <c r="AH229" i="1"/>
  <c r="BP229" i="1"/>
  <c r="AL229" i="1"/>
  <c r="S229" i="1"/>
  <c r="O229" i="1"/>
  <c r="Z229" i="1"/>
  <c r="AP229" i="1"/>
  <c r="AZ229" i="1"/>
  <c r="V228" i="1"/>
  <c r="DZ229" i="1"/>
  <c r="A230" i="1"/>
  <c r="AW228" i="1"/>
  <c r="AN35" i="1"/>
  <c r="AO35" i="1"/>
  <c r="U34" i="1"/>
  <c r="A36" i="1"/>
  <c r="DZ35" i="1"/>
  <c r="J38" i="2"/>
  <c r="K38" i="2" s="1"/>
  <c r="A36" i="6"/>
  <c r="Z66" i="6"/>
  <c r="Z129" i="6"/>
  <c r="Z56" i="6"/>
  <c r="Z114" i="6"/>
  <c r="Z171" i="6"/>
  <c r="DW34" i="1" l="1"/>
  <c r="EA34" i="1" s="1"/>
  <c r="AA8" i="6"/>
  <c r="Z15" i="6"/>
  <c r="Z24" i="6"/>
  <c r="Z14" i="6"/>
  <c r="DK36" i="1"/>
  <c r="DO36" i="1"/>
  <c r="Z33" i="6"/>
  <c r="Z23" i="6"/>
  <c r="Z13" i="6"/>
  <c r="Z82" i="6"/>
  <c r="Z83" i="6"/>
  <c r="Z26" i="6"/>
  <c r="Z16" i="6"/>
  <c r="DW103" i="1"/>
  <c r="EA103" i="1" s="1"/>
  <c r="DW167" i="1"/>
  <c r="EA167" i="1" s="1"/>
  <c r="DE230" i="1"/>
  <c r="DD230" i="1"/>
  <c r="DE36" i="1"/>
  <c r="DD36" i="1"/>
  <c r="DC36" i="1"/>
  <c r="DC170" i="1" s="1"/>
  <c r="AY105" i="1"/>
  <c r="BK35" i="1"/>
  <c r="AY168" i="1"/>
  <c r="BK168" i="1" s="1"/>
  <c r="BK104" i="1"/>
  <c r="CO169" i="1"/>
  <c r="BN168" i="1"/>
  <c r="BV168" i="1" s="1"/>
  <c r="BV104" i="1"/>
  <c r="BN105" i="1"/>
  <c r="BV35" i="1"/>
  <c r="CZ35" i="1"/>
  <c r="CO105" i="1"/>
  <c r="CO35" i="1"/>
  <c r="AV35" i="1"/>
  <c r="DS36" i="1"/>
  <c r="DG36" i="1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157" i="6"/>
  <c r="CZ105" i="1"/>
  <c r="U168" i="1"/>
  <c r="AV168" i="1"/>
  <c r="U104" i="1"/>
  <c r="AV104" i="1"/>
  <c r="CT230" i="1"/>
  <c r="CS230" i="1"/>
  <c r="AO230" i="1"/>
  <c r="AK230" i="1"/>
  <c r="AG230" i="1"/>
  <c r="AS230" i="1"/>
  <c r="AC230" i="1"/>
  <c r="Y230" i="1"/>
  <c r="R230" i="1"/>
  <c r="N230" i="1"/>
  <c r="BO36" i="1"/>
  <c r="CS36" i="1"/>
  <c r="CR36" i="1"/>
  <c r="CR106" i="1" s="1"/>
  <c r="CR170" i="1" s="1"/>
  <c r="CZ170" i="1" s="1"/>
  <c r="CG36" i="1"/>
  <c r="CK36" i="1"/>
  <c r="CK106" i="1" s="1"/>
  <c r="CK170" i="1" s="1"/>
  <c r="BN36" i="1"/>
  <c r="AZ36" i="1"/>
  <c r="AY36" i="1"/>
  <c r="BG36" i="1"/>
  <c r="BG106" i="1" s="1"/>
  <c r="BG170" i="1" s="1"/>
  <c r="BC36" i="1"/>
  <c r="BC106" i="1" s="1"/>
  <c r="BC170" i="1" s="1"/>
  <c r="F35" i="2"/>
  <c r="F37" i="1"/>
  <c r="AR36" i="1"/>
  <c r="AR106" i="1" s="1"/>
  <c r="AR170" i="1" s="1"/>
  <c r="AF36" i="1"/>
  <c r="AF106" i="1" s="1"/>
  <c r="AF170" i="1" s="1"/>
  <c r="AC36" i="1"/>
  <c r="AB36" i="1"/>
  <c r="AB106" i="1" s="1"/>
  <c r="AB170" i="1" s="1"/>
  <c r="R36" i="1"/>
  <c r="Q36" i="1"/>
  <c r="Q106" i="1" s="1"/>
  <c r="Q170" i="1" s="1"/>
  <c r="M36" i="1"/>
  <c r="M106" i="1" s="1"/>
  <c r="M170" i="1" s="1"/>
  <c r="N36" i="1"/>
  <c r="Y36" i="1"/>
  <c r="AS36" i="1"/>
  <c r="X36" i="1"/>
  <c r="X106" i="1" s="1"/>
  <c r="X170" i="1" s="1"/>
  <c r="AK36" i="1"/>
  <c r="AG36" i="1"/>
  <c r="BR36" i="1"/>
  <c r="CV36" i="1"/>
  <c r="AJ36" i="1"/>
  <c r="CD36" i="1"/>
  <c r="CC36" i="1"/>
  <c r="CC106" i="1" s="1"/>
  <c r="CC170" i="1" s="1"/>
  <c r="BO230" i="1"/>
  <c r="CD230" i="1"/>
  <c r="BZ230" i="1"/>
  <c r="O35" i="2"/>
  <c r="BZ36" i="1"/>
  <c r="BY36" i="1"/>
  <c r="BY106" i="1" s="1"/>
  <c r="BY170" i="1" s="1"/>
  <c r="CA230" i="1"/>
  <c r="G36" i="2"/>
  <c r="G39" i="1" s="1"/>
  <c r="H36" i="2"/>
  <c r="H39" i="1" s="1"/>
  <c r="AB2" i="6"/>
  <c r="A34" i="10"/>
  <c r="C34" i="10" s="1"/>
  <c r="A34" i="11"/>
  <c r="A38" i="12"/>
  <c r="A35" i="2"/>
  <c r="A37" i="8" s="1"/>
  <c r="F37" i="8" s="1"/>
  <c r="A34" i="9"/>
  <c r="BA230" i="1"/>
  <c r="AT230" i="1"/>
  <c r="AD230" i="1"/>
  <c r="AH230" i="1"/>
  <c r="BP230" i="1"/>
  <c r="AL230" i="1"/>
  <c r="S230" i="1"/>
  <c r="O230" i="1"/>
  <c r="AP230" i="1"/>
  <c r="Z230" i="1"/>
  <c r="AZ230" i="1"/>
  <c r="AW229" i="1"/>
  <c r="V229" i="1"/>
  <c r="A231" i="1"/>
  <c r="DZ230" i="1"/>
  <c r="U35" i="1"/>
  <c r="AO36" i="1"/>
  <c r="AN36" i="1"/>
  <c r="DZ36" i="1"/>
  <c r="A37" i="1"/>
  <c r="J39" i="2"/>
  <c r="K39" i="2" s="1"/>
  <c r="AA66" i="6"/>
  <c r="AA56" i="6"/>
  <c r="AA129" i="6"/>
  <c r="AA114" i="6"/>
  <c r="AA171" i="6"/>
  <c r="A37" i="6"/>
  <c r="DW104" i="1" l="1"/>
  <c r="DW35" i="1"/>
  <c r="AB8" i="6"/>
  <c r="DW168" i="1"/>
  <c r="EA168" i="1" s="1"/>
  <c r="AA82" i="6"/>
  <c r="AA83" i="6"/>
  <c r="DO37" i="1"/>
  <c r="DK37" i="1"/>
  <c r="DE231" i="1"/>
  <c r="DD231" i="1"/>
  <c r="DE37" i="1"/>
  <c r="DD37" i="1"/>
  <c r="DC37" i="1"/>
  <c r="DC171" i="1" s="1"/>
  <c r="AY106" i="1"/>
  <c r="BK36" i="1"/>
  <c r="AY169" i="1"/>
  <c r="BK169" i="1" s="1"/>
  <c r="BK105" i="1"/>
  <c r="BN106" i="1"/>
  <c r="BV36" i="1"/>
  <c r="BN169" i="1"/>
  <c r="BV169" i="1" s="1"/>
  <c r="BV105" i="1"/>
  <c r="CO170" i="1"/>
  <c r="EA104" i="1"/>
  <c r="CZ36" i="1"/>
  <c r="AV36" i="1"/>
  <c r="CO106" i="1"/>
  <c r="CO36" i="1"/>
  <c r="DG37" i="1"/>
  <c r="DS37" i="1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158" i="6"/>
  <c r="CZ106" i="1"/>
  <c r="U169" i="1"/>
  <c r="U105" i="1"/>
  <c r="AV169" i="1"/>
  <c r="AV105" i="1"/>
  <c r="CT231" i="1"/>
  <c r="CS231" i="1"/>
  <c r="AK231" i="1"/>
  <c r="AG231" i="1"/>
  <c r="AO231" i="1"/>
  <c r="AS231" i="1"/>
  <c r="AC231" i="1"/>
  <c r="Y231" i="1"/>
  <c r="R231" i="1"/>
  <c r="N231" i="1"/>
  <c r="CS37" i="1"/>
  <c r="CR37" i="1"/>
  <c r="CR107" i="1" s="1"/>
  <c r="CR171" i="1" s="1"/>
  <c r="CZ171" i="1" s="1"/>
  <c r="CG37" i="1"/>
  <c r="CK37" i="1"/>
  <c r="CK107" i="1" s="1"/>
  <c r="CK171" i="1" s="1"/>
  <c r="BN37" i="1"/>
  <c r="BH37" i="1"/>
  <c r="BG37" i="1"/>
  <c r="BG107" i="1" s="1"/>
  <c r="BG171" i="1" s="1"/>
  <c r="BC37" i="1"/>
  <c r="BC107" i="1" s="1"/>
  <c r="BC171" i="1" s="1"/>
  <c r="AZ37" i="1"/>
  <c r="AY37" i="1"/>
  <c r="BO37" i="1"/>
  <c r="BD37" i="1"/>
  <c r="F36" i="2"/>
  <c r="F38" i="1"/>
  <c r="AR37" i="1"/>
  <c r="AR107" i="1" s="1"/>
  <c r="AR171" i="1" s="1"/>
  <c r="X37" i="1"/>
  <c r="X107" i="1" s="1"/>
  <c r="X171" i="1" s="1"/>
  <c r="R37" i="1"/>
  <c r="CV37" i="1"/>
  <c r="AB37" i="1"/>
  <c r="AB107" i="1" s="1"/>
  <c r="AB171" i="1" s="1"/>
  <c r="Q37" i="1"/>
  <c r="Q107" i="1" s="1"/>
  <c r="Q171" i="1" s="1"/>
  <c r="Y37" i="1"/>
  <c r="M37" i="1"/>
  <c r="M107" i="1" s="1"/>
  <c r="M171" i="1" s="1"/>
  <c r="N37" i="1"/>
  <c r="AS37" i="1"/>
  <c r="AG37" i="1"/>
  <c r="BR37" i="1"/>
  <c r="AF37" i="1"/>
  <c r="AF107" i="1" s="1"/>
  <c r="AF171" i="1" s="1"/>
  <c r="AJ37" i="1"/>
  <c r="AK37" i="1"/>
  <c r="AC37" i="1"/>
  <c r="CD37" i="1"/>
  <c r="CC37" i="1"/>
  <c r="CC107" i="1" s="1"/>
  <c r="CC171" i="1" s="1"/>
  <c r="BO231" i="1"/>
  <c r="CD231" i="1"/>
  <c r="BZ231" i="1"/>
  <c r="O36" i="2"/>
  <c r="BZ37" i="1"/>
  <c r="BY37" i="1"/>
  <c r="BY107" i="1" s="1"/>
  <c r="BY171" i="1" s="1"/>
  <c r="CA231" i="1"/>
  <c r="H37" i="2"/>
  <c r="H40" i="1" s="1"/>
  <c r="G37" i="2"/>
  <c r="G40" i="1" s="1"/>
  <c r="AC2" i="6"/>
  <c r="A35" i="9"/>
  <c r="A35" i="10"/>
  <c r="C35" i="10" s="1"/>
  <c r="A35" i="11"/>
  <c r="A39" i="12"/>
  <c r="A36" i="2"/>
  <c r="A38" i="8" s="1"/>
  <c r="F38" i="8" s="1"/>
  <c r="BA231" i="1"/>
  <c r="AT231" i="1"/>
  <c r="AD231" i="1"/>
  <c r="AH231" i="1"/>
  <c r="BP231" i="1"/>
  <c r="AL231" i="1"/>
  <c r="S231" i="1"/>
  <c r="AP231" i="1"/>
  <c r="Z231" i="1"/>
  <c r="O231" i="1"/>
  <c r="AZ231" i="1"/>
  <c r="A232" i="1"/>
  <c r="DZ231" i="1"/>
  <c r="V230" i="1"/>
  <c r="AW230" i="1"/>
  <c r="AN37" i="1"/>
  <c r="AO37" i="1"/>
  <c r="U36" i="1"/>
  <c r="DZ37" i="1"/>
  <c r="A38" i="1"/>
  <c r="J40" i="2"/>
  <c r="K40" i="2" s="1"/>
  <c r="AB129" i="6"/>
  <c r="AB66" i="6"/>
  <c r="AB56" i="6"/>
  <c r="AB114" i="6"/>
  <c r="AB171" i="6"/>
  <c r="A38" i="6"/>
  <c r="DO38" i="1" l="1"/>
  <c r="DK38" i="1"/>
  <c r="AC8" i="6"/>
  <c r="AC12" i="6" s="1"/>
  <c r="DW36" i="1"/>
  <c r="AB83" i="6"/>
  <c r="AB82" i="6"/>
  <c r="DW105" i="1"/>
  <c r="EA105" i="1" s="1"/>
  <c r="DW169" i="1"/>
  <c r="EA169" i="1" s="1"/>
  <c r="DD232" i="1"/>
  <c r="DE232" i="1"/>
  <c r="DC38" i="1"/>
  <c r="DC172" i="1" s="1"/>
  <c r="DE38" i="1"/>
  <c r="DD38" i="1"/>
  <c r="BK37" i="1"/>
  <c r="AY170" i="1"/>
  <c r="BK170" i="1" s="1"/>
  <c r="BK106" i="1"/>
  <c r="CO171" i="1"/>
  <c r="AY107" i="1"/>
  <c r="BN107" i="1"/>
  <c r="BV37" i="1"/>
  <c r="BN170" i="1"/>
  <c r="BV170" i="1" s="1"/>
  <c r="BV106" i="1"/>
  <c r="CZ37" i="1"/>
  <c r="CO107" i="1"/>
  <c r="CO37" i="1"/>
  <c r="AV37" i="1"/>
  <c r="DS38" i="1"/>
  <c r="DG38" i="1"/>
  <c r="AC11" i="6"/>
  <c r="AC16" i="6"/>
  <c r="AC17" i="6"/>
  <c r="AC18" i="6"/>
  <c r="AC24" i="6"/>
  <c r="AC26" i="6"/>
  <c r="AC27" i="6"/>
  <c r="AC28" i="6"/>
  <c r="AC35" i="6"/>
  <c r="AC36" i="6"/>
  <c r="A159" i="6"/>
  <c r="CZ107" i="1"/>
  <c r="U170" i="1"/>
  <c r="U106" i="1"/>
  <c r="AV170" i="1"/>
  <c r="AV106" i="1"/>
  <c r="CT232" i="1"/>
  <c r="CS232" i="1"/>
  <c r="AK232" i="1"/>
  <c r="AS232" i="1"/>
  <c r="AO232" i="1"/>
  <c r="AG232" i="1"/>
  <c r="AC232" i="1"/>
  <c r="Y232" i="1"/>
  <c r="R232" i="1"/>
  <c r="N232" i="1"/>
  <c r="BD38" i="1"/>
  <c r="CS38" i="1"/>
  <c r="CR38" i="1"/>
  <c r="CR108" i="1" s="1"/>
  <c r="CR172" i="1" s="1"/>
  <c r="CZ172" i="1" s="1"/>
  <c r="CG38" i="1"/>
  <c r="BH38" i="1"/>
  <c r="CK38" i="1"/>
  <c r="CK108" i="1" s="1"/>
  <c r="CK172" i="1" s="1"/>
  <c r="BN38" i="1"/>
  <c r="BG38" i="1"/>
  <c r="BG108" i="1" s="1"/>
  <c r="BG172" i="1" s="1"/>
  <c r="BC38" i="1"/>
  <c r="BC108" i="1" s="1"/>
  <c r="BC172" i="1" s="1"/>
  <c r="AZ38" i="1"/>
  <c r="AY38" i="1"/>
  <c r="BO38" i="1"/>
  <c r="F37" i="2"/>
  <c r="F39" i="1"/>
  <c r="AR38" i="1"/>
  <c r="AR108" i="1" s="1"/>
  <c r="AR172" i="1" s="1"/>
  <c r="CC38" i="1"/>
  <c r="CC108" i="1" s="1"/>
  <c r="CC172" i="1" s="1"/>
  <c r="N38" i="1"/>
  <c r="CV38" i="1"/>
  <c r="BR38" i="1"/>
  <c r="Y38" i="1"/>
  <c r="X38" i="1"/>
  <c r="X108" i="1" s="1"/>
  <c r="X172" i="1" s="1"/>
  <c r="AG38" i="1"/>
  <c r="AF38" i="1"/>
  <c r="AF108" i="1" s="1"/>
  <c r="AF172" i="1" s="1"/>
  <c r="AK38" i="1"/>
  <c r="AJ38" i="1"/>
  <c r="AC38" i="1"/>
  <c r="AB38" i="1"/>
  <c r="AB108" i="1" s="1"/>
  <c r="AB172" i="1" s="1"/>
  <c r="AS38" i="1"/>
  <c r="M38" i="1"/>
  <c r="M108" i="1" s="1"/>
  <c r="M172" i="1" s="1"/>
  <c r="R38" i="1"/>
  <c r="Q38" i="1"/>
  <c r="Q108" i="1" s="1"/>
  <c r="Q172" i="1" s="1"/>
  <c r="CD38" i="1"/>
  <c r="CD232" i="1"/>
  <c r="BZ232" i="1"/>
  <c r="BO232" i="1"/>
  <c r="O37" i="2"/>
  <c r="BZ38" i="1"/>
  <c r="BY38" i="1"/>
  <c r="BY108" i="1" s="1"/>
  <c r="BY172" i="1" s="1"/>
  <c r="CA232" i="1"/>
  <c r="H38" i="2"/>
  <c r="H41" i="1" s="1"/>
  <c r="G38" i="2"/>
  <c r="G41" i="1" s="1"/>
  <c r="AD2" i="6"/>
  <c r="V231" i="1"/>
  <c r="A36" i="9"/>
  <c r="A36" i="10"/>
  <c r="C36" i="10" s="1"/>
  <c r="A40" i="12"/>
  <c r="A37" i="2"/>
  <c r="A39" i="8" s="1"/>
  <c r="F39" i="8" s="1"/>
  <c r="A36" i="11"/>
  <c r="BA232" i="1"/>
  <c r="AT232" i="1"/>
  <c r="AD232" i="1"/>
  <c r="AH232" i="1"/>
  <c r="BP232" i="1"/>
  <c r="AL232" i="1"/>
  <c r="S232" i="1"/>
  <c r="AP232" i="1"/>
  <c r="Z232" i="1"/>
  <c r="O232" i="1"/>
  <c r="AZ232" i="1"/>
  <c r="DZ232" i="1"/>
  <c r="A233" i="1"/>
  <c r="AW231" i="1"/>
  <c r="AN38" i="1"/>
  <c r="AO38" i="1"/>
  <c r="U37" i="1"/>
  <c r="A39" i="1"/>
  <c r="DZ38" i="1"/>
  <c r="J41" i="2"/>
  <c r="K41" i="2" s="1"/>
  <c r="AC56" i="6"/>
  <c r="AC129" i="6"/>
  <c r="AC114" i="6"/>
  <c r="AC171" i="6"/>
  <c r="A39" i="6"/>
  <c r="DW37" i="1" l="1"/>
  <c r="EA37" i="1" s="1"/>
  <c r="AD8" i="6"/>
  <c r="AD14" i="6" s="1"/>
  <c r="AC23" i="6"/>
  <c r="AC66" i="6"/>
  <c r="DW170" i="1"/>
  <c r="EA170" i="1" s="1"/>
  <c r="AC31" i="6"/>
  <c r="AC21" i="6"/>
  <c r="AC30" i="6"/>
  <c r="AC20" i="6"/>
  <c r="AC29" i="6"/>
  <c r="AC19" i="6"/>
  <c r="AC25" i="6"/>
  <c r="AC15" i="6"/>
  <c r="AC34" i="6"/>
  <c r="AC14" i="6"/>
  <c r="AC13" i="6"/>
  <c r="AC33" i="6"/>
  <c r="DW106" i="1"/>
  <c r="EA106" i="1" s="1"/>
  <c r="AC32" i="6"/>
  <c r="AC22" i="6"/>
  <c r="DO39" i="1"/>
  <c r="DK39" i="1"/>
  <c r="DD233" i="1"/>
  <c r="DE233" i="1"/>
  <c r="DE39" i="1"/>
  <c r="DC39" i="1"/>
  <c r="DC173" i="1" s="1"/>
  <c r="DD39" i="1"/>
  <c r="AY171" i="1"/>
  <c r="BK171" i="1" s="1"/>
  <c r="BK107" i="1"/>
  <c r="BK38" i="1"/>
  <c r="AY108" i="1"/>
  <c r="CO172" i="1"/>
  <c r="BN171" i="1"/>
  <c r="BV171" i="1" s="1"/>
  <c r="BV107" i="1"/>
  <c r="BN108" i="1"/>
  <c r="BV38" i="1"/>
  <c r="U107" i="1"/>
  <c r="CZ38" i="1"/>
  <c r="CO108" i="1"/>
  <c r="CO38" i="1"/>
  <c r="AV38" i="1"/>
  <c r="DG39" i="1"/>
  <c r="DS39" i="1"/>
  <c r="AD11" i="6"/>
  <c r="AD12" i="6"/>
  <c r="AD13" i="6"/>
  <c r="AD16" i="6"/>
  <c r="AD17" i="6"/>
  <c r="AD18" i="6"/>
  <c r="AD19" i="6"/>
  <c r="AD20" i="6"/>
  <c r="AD21" i="6"/>
  <c r="AD22" i="6"/>
  <c r="AD23" i="6"/>
  <c r="AD26" i="6"/>
  <c r="AD27" i="6"/>
  <c r="AD28" i="6"/>
  <c r="AD29" i="6"/>
  <c r="AD30" i="6"/>
  <c r="AD31" i="6"/>
  <c r="AD32" i="6"/>
  <c r="AD33" i="6"/>
  <c r="AD36" i="6"/>
  <c r="AD37" i="6"/>
  <c r="A160" i="6"/>
  <c r="CZ108" i="1"/>
  <c r="U171" i="1"/>
  <c r="U172" i="1"/>
  <c r="AV171" i="1"/>
  <c r="AV107" i="1"/>
  <c r="CT233" i="1"/>
  <c r="CS233" i="1"/>
  <c r="AK233" i="1"/>
  <c r="AS233" i="1"/>
  <c r="AO233" i="1"/>
  <c r="AG233" i="1"/>
  <c r="AC233" i="1"/>
  <c r="Y233" i="1"/>
  <c r="R233" i="1"/>
  <c r="N233" i="1"/>
  <c r="CR39" i="1"/>
  <c r="CR109" i="1" s="1"/>
  <c r="CR173" i="1" s="1"/>
  <c r="CZ173" i="1" s="1"/>
  <c r="BD39" i="1"/>
  <c r="CG39" i="1"/>
  <c r="CK39" i="1"/>
  <c r="CK109" i="1" s="1"/>
  <c r="CK173" i="1" s="1"/>
  <c r="BN39" i="1"/>
  <c r="BH39" i="1"/>
  <c r="BG39" i="1"/>
  <c r="BG109" i="1" s="1"/>
  <c r="BG173" i="1" s="1"/>
  <c r="BC39" i="1"/>
  <c r="BC109" i="1" s="1"/>
  <c r="BC173" i="1" s="1"/>
  <c r="AZ39" i="1"/>
  <c r="AY39" i="1"/>
  <c r="BO39" i="1"/>
  <c r="CS39" i="1"/>
  <c r="F38" i="2"/>
  <c r="F40" i="1"/>
  <c r="AR39" i="1"/>
  <c r="AR109" i="1" s="1"/>
  <c r="AR173" i="1" s="1"/>
  <c r="CC39" i="1"/>
  <c r="CC109" i="1" s="1"/>
  <c r="CC173" i="1" s="1"/>
  <c r="CV39" i="1"/>
  <c r="BR39" i="1"/>
  <c r="Y39" i="1"/>
  <c r="X39" i="1"/>
  <c r="X109" i="1" s="1"/>
  <c r="X173" i="1" s="1"/>
  <c r="AG39" i="1"/>
  <c r="AF39" i="1"/>
  <c r="AF109" i="1" s="1"/>
  <c r="AF173" i="1" s="1"/>
  <c r="M39" i="1"/>
  <c r="M109" i="1" s="1"/>
  <c r="M173" i="1" s="1"/>
  <c r="AS39" i="1"/>
  <c r="N39" i="1"/>
  <c r="AK39" i="1"/>
  <c r="AC39" i="1"/>
  <c r="AJ39" i="1"/>
  <c r="AB39" i="1"/>
  <c r="AB109" i="1" s="1"/>
  <c r="AB173" i="1" s="1"/>
  <c r="R39" i="1"/>
  <c r="Q39" i="1"/>
  <c r="Q109" i="1" s="1"/>
  <c r="Q173" i="1" s="1"/>
  <c r="CD39" i="1"/>
  <c r="BZ233" i="1"/>
  <c r="CD233" i="1"/>
  <c r="BO233" i="1"/>
  <c r="O38" i="2"/>
  <c r="BY39" i="1"/>
  <c r="BY109" i="1" s="1"/>
  <c r="BY173" i="1" s="1"/>
  <c r="BZ39" i="1"/>
  <c r="CA233" i="1"/>
  <c r="G39" i="2"/>
  <c r="G42" i="1" s="1"/>
  <c r="H39" i="2"/>
  <c r="H42" i="1" s="1"/>
  <c r="AE2" i="6"/>
  <c r="A37" i="9"/>
  <c r="A37" i="10"/>
  <c r="C37" i="10" s="1"/>
  <c r="A37" i="11"/>
  <c r="A41" i="12"/>
  <c r="A38" i="2"/>
  <c r="A40" i="8" s="1"/>
  <c r="F40" i="8" s="1"/>
  <c r="V232" i="1"/>
  <c r="BH232" i="1"/>
  <c r="BD232" i="1"/>
  <c r="AH233" i="1"/>
  <c r="BP233" i="1"/>
  <c r="AL233" i="1"/>
  <c r="S233" i="1"/>
  <c r="AP233" i="1"/>
  <c r="Z233" i="1"/>
  <c r="AT233" i="1"/>
  <c r="O233" i="1"/>
  <c r="AZ233" i="1"/>
  <c r="BA233" i="1"/>
  <c r="AD233" i="1"/>
  <c r="DZ233" i="1"/>
  <c r="A234" i="1"/>
  <c r="AW232" i="1"/>
  <c r="AN39" i="1"/>
  <c r="AO39" i="1"/>
  <c r="U38" i="1"/>
  <c r="A40" i="1"/>
  <c r="DZ39" i="1"/>
  <c r="J42" i="2"/>
  <c r="K42" i="2" s="1"/>
  <c r="AD129" i="6"/>
  <c r="AD114" i="6"/>
  <c r="AD66" i="6"/>
  <c r="AD171" i="6"/>
  <c r="A40" i="6"/>
  <c r="DW107" i="1" l="1"/>
  <c r="AE8" i="6"/>
  <c r="AE20" i="6" s="1"/>
  <c r="AD35" i="6"/>
  <c r="AD25" i="6"/>
  <c r="AD15" i="6"/>
  <c r="AD56" i="6"/>
  <c r="AD34" i="6"/>
  <c r="AD24" i="6"/>
  <c r="DW171" i="1"/>
  <c r="EA171" i="1" s="1"/>
  <c r="DK40" i="1"/>
  <c r="DO40" i="1"/>
  <c r="DW38" i="1"/>
  <c r="EA38" i="1" s="1"/>
  <c r="AD83" i="6"/>
  <c r="AD82" i="6"/>
  <c r="AC83" i="6"/>
  <c r="AC82" i="6"/>
  <c r="DD234" i="1"/>
  <c r="DE234" i="1"/>
  <c r="EA107" i="1"/>
  <c r="DC40" i="1"/>
  <c r="DC174" i="1" s="1"/>
  <c r="DE40" i="1"/>
  <c r="DD40" i="1"/>
  <c r="AY172" i="1"/>
  <c r="BK172" i="1" s="1"/>
  <c r="BK108" i="1"/>
  <c r="AY109" i="1"/>
  <c r="BK39" i="1"/>
  <c r="BN172" i="1"/>
  <c r="BV172" i="1" s="1"/>
  <c r="BV108" i="1"/>
  <c r="CO173" i="1"/>
  <c r="BN109" i="1"/>
  <c r="BV39" i="1"/>
  <c r="CZ39" i="1"/>
  <c r="CO109" i="1"/>
  <c r="CO39" i="1"/>
  <c r="AV39" i="1"/>
  <c r="DS40" i="1"/>
  <c r="DG40" i="1"/>
  <c r="AE11" i="6"/>
  <c r="AE12" i="6"/>
  <c r="AE13" i="6"/>
  <c r="AE14" i="6"/>
  <c r="AE15" i="6"/>
  <c r="AE16" i="6"/>
  <c r="AE17" i="6"/>
  <c r="AE18" i="6"/>
  <c r="AE19" i="6"/>
  <c r="AE21" i="6"/>
  <c r="AE22" i="6"/>
  <c r="AE23" i="6"/>
  <c r="AE24" i="6"/>
  <c r="AE25" i="6"/>
  <c r="AE26" i="6"/>
  <c r="AE27" i="6"/>
  <c r="AE28" i="6"/>
  <c r="AE29" i="6"/>
  <c r="AE31" i="6"/>
  <c r="AE32" i="6"/>
  <c r="AE33" i="6"/>
  <c r="AE34" i="6"/>
  <c r="AE35" i="6"/>
  <c r="AE36" i="6"/>
  <c r="AE37" i="6"/>
  <c r="AE38" i="6"/>
  <c r="A161" i="6"/>
  <c r="CZ109" i="1"/>
  <c r="AV172" i="1"/>
  <c r="AV108" i="1"/>
  <c r="U108" i="1"/>
  <c r="BD40" i="1"/>
  <c r="CG40" i="1"/>
  <c r="CK40" i="1"/>
  <c r="CK110" i="1" s="1"/>
  <c r="CK174" i="1" s="1"/>
  <c r="BN40" i="1"/>
  <c r="BH40" i="1"/>
  <c r="BG40" i="1"/>
  <c r="BG110" i="1" s="1"/>
  <c r="BG174" i="1" s="1"/>
  <c r="BC40" i="1"/>
  <c r="BC110" i="1" s="1"/>
  <c r="BC174" i="1" s="1"/>
  <c r="AZ40" i="1"/>
  <c r="AY40" i="1"/>
  <c r="BO40" i="1"/>
  <c r="CS40" i="1"/>
  <c r="CR40" i="1"/>
  <c r="CR110" i="1" s="1"/>
  <c r="CR174" i="1" s="1"/>
  <c r="CZ174" i="1" s="1"/>
  <c r="CT234" i="1"/>
  <c r="CS234" i="1"/>
  <c r="AG234" i="1"/>
  <c r="AS234" i="1"/>
  <c r="AO234" i="1"/>
  <c r="AK234" i="1"/>
  <c r="AC234" i="1"/>
  <c r="Y234" i="1"/>
  <c r="R234" i="1"/>
  <c r="N234" i="1"/>
  <c r="F39" i="2"/>
  <c r="F41" i="1"/>
  <c r="AR40" i="1"/>
  <c r="AR110" i="1" s="1"/>
  <c r="AR174" i="1" s="1"/>
  <c r="CC40" i="1"/>
  <c r="CC110" i="1" s="1"/>
  <c r="CC174" i="1" s="1"/>
  <c r="X40" i="1"/>
  <c r="X110" i="1" s="1"/>
  <c r="X174" i="1" s="1"/>
  <c r="X183" i="1" s="1"/>
  <c r="AG40" i="1"/>
  <c r="AF40" i="1"/>
  <c r="AF110" i="1" s="1"/>
  <c r="AF174" i="1" s="1"/>
  <c r="AC40" i="1"/>
  <c r="BR40" i="1"/>
  <c r="AB40" i="1"/>
  <c r="AB110" i="1" s="1"/>
  <c r="AB174" i="1" s="1"/>
  <c r="AB183" i="1" s="1"/>
  <c r="R40" i="1"/>
  <c r="AS40" i="1"/>
  <c r="AJ40" i="1"/>
  <c r="Q40" i="1"/>
  <c r="Q110" i="1" s="1"/>
  <c r="Q174" i="1" s="1"/>
  <c r="Q183" i="1" s="1"/>
  <c r="M40" i="1"/>
  <c r="M110" i="1" s="1"/>
  <c r="M174" i="1" s="1"/>
  <c r="AK40" i="1"/>
  <c r="Y40" i="1"/>
  <c r="N40" i="1"/>
  <c r="CV40" i="1"/>
  <c r="CD234" i="1"/>
  <c r="BO234" i="1"/>
  <c r="BZ234" i="1"/>
  <c r="CD40" i="1"/>
  <c r="O39" i="2"/>
  <c r="BY40" i="1"/>
  <c r="BZ40" i="1"/>
  <c r="CA234" i="1"/>
  <c r="G40" i="2"/>
  <c r="G43" i="1" s="1"/>
  <c r="H40" i="2"/>
  <c r="H43" i="1" s="1"/>
  <c r="AF2" i="6"/>
  <c r="A42" i="12"/>
  <c r="A39" i="2"/>
  <c r="A41" i="8" s="1"/>
  <c r="F41" i="8" s="1"/>
  <c r="A38" i="9"/>
  <c r="A38" i="10"/>
  <c r="C38" i="10" s="1"/>
  <c r="A38" i="11"/>
  <c r="BD233" i="1"/>
  <c r="BE233" i="1" s="1"/>
  <c r="O234" i="1"/>
  <c r="AH234" i="1"/>
  <c r="BP234" i="1"/>
  <c r="AL234" i="1"/>
  <c r="S234" i="1"/>
  <c r="BE234" i="1"/>
  <c r="AP234" i="1"/>
  <c r="Z234" i="1"/>
  <c r="BI234" i="1"/>
  <c r="BA234" i="1"/>
  <c r="AT234" i="1"/>
  <c r="AD234" i="1"/>
  <c r="BD234" i="1"/>
  <c r="BH234" i="1"/>
  <c r="AZ234" i="1"/>
  <c r="BH233" i="1"/>
  <c r="BI233" i="1" s="1"/>
  <c r="V233" i="1"/>
  <c r="AW233" i="1"/>
  <c r="A235" i="1"/>
  <c r="DZ234" i="1"/>
  <c r="AN40" i="1"/>
  <c r="AO40" i="1"/>
  <c r="U39" i="1"/>
  <c r="DZ40" i="1"/>
  <c r="A41" i="1"/>
  <c r="J43" i="2"/>
  <c r="K43" i="2" s="1"/>
  <c r="AE114" i="6"/>
  <c r="AE129" i="6"/>
  <c r="AE56" i="6"/>
  <c r="AE171" i="6"/>
  <c r="A41" i="6"/>
  <c r="DW39" i="1" l="1"/>
  <c r="EA39" i="1" s="1"/>
  <c r="DW172" i="1"/>
  <c r="EA172" i="1" s="1"/>
  <c r="AE66" i="6"/>
  <c r="AE30" i="6"/>
  <c r="DO41" i="1"/>
  <c r="DK41" i="1"/>
  <c r="AF8" i="6"/>
  <c r="AF20" i="6" s="1"/>
  <c r="DW108" i="1"/>
  <c r="EA108" i="1" s="1"/>
  <c r="DD235" i="1"/>
  <c r="DE235" i="1"/>
  <c r="DD41" i="1"/>
  <c r="DC41" i="1"/>
  <c r="DE41" i="1"/>
  <c r="BL233" i="1"/>
  <c r="AY173" i="1"/>
  <c r="BK173" i="1" s="1"/>
  <c r="BK109" i="1"/>
  <c r="AY110" i="1"/>
  <c r="BK40" i="1"/>
  <c r="BL234" i="1"/>
  <c r="BY110" i="1"/>
  <c r="BY174" i="1" s="1"/>
  <c r="CO174" i="1"/>
  <c r="BN110" i="1"/>
  <c r="BV40" i="1"/>
  <c r="BN173" i="1"/>
  <c r="BV173" i="1" s="1"/>
  <c r="BV109" i="1"/>
  <c r="CZ40" i="1"/>
  <c r="CZ49" i="1" s="1"/>
  <c r="AV40" i="1"/>
  <c r="CO110" i="1"/>
  <c r="CO40" i="1"/>
  <c r="DC119" i="1"/>
  <c r="X119" i="1"/>
  <c r="AB119" i="1"/>
  <c r="AF119" i="1"/>
  <c r="Q119" i="1"/>
  <c r="DG41" i="1"/>
  <c r="DS41" i="1"/>
  <c r="DC175" i="1"/>
  <c r="AF14" i="6"/>
  <c r="AF15" i="6"/>
  <c r="AF16" i="6"/>
  <c r="AF17" i="6"/>
  <c r="AF18" i="6"/>
  <c r="AF24" i="6"/>
  <c r="AF25" i="6"/>
  <c r="AF26" i="6"/>
  <c r="AF27" i="6"/>
  <c r="AF28" i="6"/>
  <c r="AF34" i="6"/>
  <c r="AF35" i="6"/>
  <c r="AF36" i="6"/>
  <c r="AF37" i="6"/>
  <c r="AF38" i="6"/>
  <c r="A162" i="6"/>
  <c r="CZ110" i="1"/>
  <c r="CC119" i="1"/>
  <c r="AN119" i="1"/>
  <c r="AN183" i="1"/>
  <c r="AV173" i="1"/>
  <c r="AV109" i="1"/>
  <c r="AR119" i="1"/>
  <c r="AR183" i="1"/>
  <c r="U173" i="1"/>
  <c r="U109" i="1"/>
  <c r="CG41" i="1"/>
  <c r="BD41" i="1"/>
  <c r="CK41" i="1"/>
  <c r="CK111" i="1" s="1"/>
  <c r="CK175" i="1" s="1"/>
  <c r="BN41" i="1"/>
  <c r="BH41" i="1"/>
  <c r="BO41" i="1"/>
  <c r="BG41" i="1"/>
  <c r="BG111" i="1" s="1"/>
  <c r="BG175" i="1" s="1"/>
  <c r="BC41" i="1"/>
  <c r="BC111" i="1" s="1"/>
  <c r="BC175" i="1" s="1"/>
  <c r="AZ41" i="1"/>
  <c r="AY41" i="1"/>
  <c r="CS41" i="1"/>
  <c r="CR41" i="1"/>
  <c r="CT235" i="1"/>
  <c r="CS235" i="1"/>
  <c r="AS235" i="1"/>
  <c r="AO235" i="1"/>
  <c r="AK235" i="1"/>
  <c r="AG235" i="1"/>
  <c r="N235" i="1"/>
  <c r="AC235" i="1"/>
  <c r="Y235" i="1"/>
  <c r="R235" i="1"/>
  <c r="F40" i="2"/>
  <c r="F42" i="1"/>
  <c r="AR41" i="1"/>
  <c r="AR111" i="1" s="1"/>
  <c r="AR175" i="1" s="1"/>
  <c r="CV49" i="1"/>
  <c r="CR49" i="1"/>
  <c r="CR69" i="1" s="1"/>
  <c r="CZ69" i="1" s="1"/>
  <c r="DW69" i="1" s="1"/>
  <c r="CC41" i="1"/>
  <c r="CC111" i="1" s="1"/>
  <c r="CC175" i="1" s="1"/>
  <c r="AG41" i="1"/>
  <c r="AF41" i="1"/>
  <c r="AF111" i="1" s="1"/>
  <c r="AF175" i="1" s="1"/>
  <c r="AC41" i="1"/>
  <c r="BR41" i="1"/>
  <c r="AB41" i="1"/>
  <c r="AB111" i="1" s="1"/>
  <c r="AB175" i="1" s="1"/>
  <c r="Q41" i="1"/>
  <c r="Q111" i="1" s="1"/>
  <c r="Q175" i="1" s="1"/>
  <c r="CW41" i="1"/>
  <c r="AJ41" i="1"/>
  <c r="CV41" i="1"/>
  <c r="Y41" i="1"/>
  <c r="N41" i="1"/>
  <c r="AK41" i="1"/>
  <c r="R41" i="1"/>
  <c r="X41" i="1"/>
  <c r="X111" i="1" s="1"/>
  <c r="X175" i="1" s="1"/>
  <c r="M41" i="1"/>
  <c r="M111" i="1" s="1"/>
  <c r="M175" i="1" s="1"/>
  <c r="AS41" i="1"/>
  <c r="CD41" i="1"/>
  <c r="CD235" i="1"/>
  <c r="BZ235" i="1"/>
  <c r="BO235" i="1"/>
  <c r="O40" i="2"/>
  <c r="BZ41" i="1"/>
  <c r="BY41" i="1"/>
  <c r="BY111" i="1" s="1"/>
  <c r="BY175" i="1" s="1"/>
  <c r="CA235" i="1"/>
  <c r="G41" i="2"/>
  <c r="G44" i="1" s="1"/>
  <c r="H41" i="2"/>
  <c r="H44" i="1" s="1"/>
  <c r="AG2" i="6"/>
  <c r="A39" i="11"/>
  <c r="A43" i="12"/>
  <c r="A40" i="2"/>
  <c r="A42" i="8" s="1"/>
  <c r="F42" i="8" s="1"/>
  <c r="A39" i="9"/>
  <c r="A39" i="10"/>
  <c r="C39" i="10" s="1"/>
  <c r="AH235" i="1"/>
  <c r="O235" i="1"/>
  <c r="BP235" i="1"/>
  <c r="AL235" i="1"/>
  <c r="S235" i="1"/>
  <c r="BE235" i="1"/>
  <c r="AP235" i="1"/>
  <c r="Z235" i="1"/>
  <c r="BI235" i="1"/>
  <c r="BA235" i="1"/>
  <c r="AT235" i="1"/>
  <c r="AD235" i="1"/>
  <c r="BD235" i="1"/>
  <c r="BH235" i="1"/>
  <c r="AZ235" i="1"/>
  <c r="AW234" i="1"/>
  <c r="A236" i="1"/>
  <c r="DZ235" i="1"/>
  <c r="V234" i="1"/>
  <c r="AB49" i="1"/>
  <c r="AB235" i="1" s="1"/>
  <c r="AB288" i="1" s="1"/>
  <c r="AJ49" i="1"/>
  <c r="X49" i="1"/>
  <c r="X235" i="1" s="1"/>
  <c r="X288" i="1" s="1"/>
  <c r="M49" i="1"/>
  <c r="M235" i="1" s="1"/>
  <c r="M288" i="1" s="1"/>
  <c r="Q49" i="1"/>
  <c r="AN49" i="1"/>
  <c r="AR49" i="1"/>
  <c r="AR235" i="1" s="1"/>
  <c r="AR288" i="1" s="1"/>
  <c r="AO41" i="1"/>
  <c r="AN41" i="1"/>
  <c r="U40" i="1"/>
  <c r="AF49" i="1"/>
  <c r="AF235" i="1" s="1"/>
  <c r="AF288" i="1" s="1"/>
  <c r="A42" i="1"/>
  <c r="DZ41" i="1"/>
  <c r="J44" i="2"/>
  <c r="K44" i="2" s="1"/>
  <c r="A42" i="6"/>
  <c r="AF66" i="6"/>
  <c r="AF114" i="6"/>
  <c r="AF129" i="6"/>
  <c r="AF171" i="6"/>
  <c r="AF56" i="6" l="1"/>
  <c r="AF39" i="6"/>
  <c r="AF29" i="6"/>
  <c r="AF19" i="6"/>
  <c r="DW109" i="1"/>
  <c r="EA109" i="1" s="1"/>
  <c r="AF82" i="6"/>
  <c r="AF83" i="6"/>
  <c r="AG8" i="6"/>
  <c r="AG14" i="6" s="1"/>
  <c r="AF23" i="6"/>
  <c r="AF32" i="6"/>
  <c r="AF22" i="6"/>
  <c r="AF12" i="6"/>
  <c r="AF33" i="6"/>
  <c r="DO42" i="1"/>
  <c r="DK42" i="1"/>
  <c r="AF31" i="6"/>
  <c r="AF21" i="6"/>
  <c r="AF11" i="6"/>
  <c r="AE83" i="6"/>
  <c r="AE82" i="6"/>
  <c r="DW173" i="1"/>
  <c r="EA173" i="1" s="1"/>
  <c r="AF13" i="6"/>
  <c r="AF30" i="6"/>
  <c r="DW40" i="1"/>
  <c r="EA40" i="1" s="1"/>
  <c r="CO175" i="1"/>
  <c r="DD236" i="1"/>
  <c r="DE236" i="1"/>
  <c r="DE42" i="1"/>
  <c r="DD42" i="1"/>
  <c r="DC42" i="1"/>
  <c r="BL235" i="1"/>
  <c r="AY111" i="1"/>
  <c r="BK41" i="1"/>
  <c r="AY174" i="1"/>
  <c r="BK174" i="1" s="1"/>
  <c r="BK110" i="1"/>
  <c r="BN111" i="1"/>
  <c r="BV41" i="1"/>
  <c r="BY119" i="1"/>
  <c r="CZ41" i="1"/>
  <c r="CR111" i="1"/>
  <c r="CR175" i="1" s="1"/>
  <c r="CZ175" i="1" s="1"/>
  <c r="BN174" i="1"/>
  <c r="BV174" i="1" s="1"/>
  <c r="BV110" i="1"/>
  <c r="EA69" i="1"/>
  <c r="AV41" i="1"/>
  <c r="CO111" i="1"/>
  <c r="CO41" i="1"/>
  <c r="AY119" i="1"/>
  <c r="DG42" i="1"/>
  <c r="DS42" i="1"/>
  <c r="DC176" i="1"/>
  <c r="CR119" i="1"/>
  <c r="AG11" i="6"/>
  <c r="AG12" i="6"/>
  <c r="AG13" i="6"/>
  <c r="AG15" i="6"/>
  <c r="AG16" i="6"/>
  <c r="AG17" i="6"/>
  <c r="AG18" i="6"/>
  <c r="AG19" i="6"/>
  <c r="AG20" i="6"/>
  <c r="AG21" i="6"/>
  <c r="AG22" i="6"/>
  <c r="AG23" i="6"/>
  <c r="AG25" i="6"/>
  <c r="AG26" i="6"/>
  <c r="AG27" i="6"/>
  <c r="AG28" i="6"/>
  <c r="AG29" i="6"/>
  <c r="AG30" i="6"/>
  <c r="AG31" i="6"/>
  <c r="AG32" i="6"/>
  <c r="AG33" i="6"/>
  <c r="AG35" i="6"/>
  <c r="AG36" i="6"/>
  <c r="AG37" i="6"/>
  <c r="AG38" i="6"/>
  <c r="AG39" i="6"/>
  <c r="AG40" i="6"/>
  <c r="A163" i="6"/>
  <c r="AV174" i="1"/>
  <c r="AF183" i="1"/>
  <c r="U174" i="1"/>
  <c r="M183" i="1"/>
  <c r="AV110" i="1"/>
  <c r="U110" i="1"/>
  <c r="M119" i="1"/>
  <c r="CR229" i="1"/>
  <c r="CR213" i="1"/>
  <c r="CR218" i="1"/>
  <c r="CR210" i="1"/>
  <c r="CR221" i="1"/>
  <c r="CR225" i="1"/>
  <c r="CR231" i="1"/>
  <c r="CR220" i="1"/>
  <c r="CR211" i="1"/>
  <c r="CR216" i="1"/>
  <c r="CR214" i="1"/>
  <c r="CR233" i="1"/>
  <c r="CR224" i="1"/>
  <c r="CR222" i="1"/>
  <c r="CR215" i="1"/>
  <c r="CR226" i="1"/>
  <c r="CR207" i="1"/>
  <c r="CR206" i="1"/>
  <c r="CR227" i="1"/>
  <c r="CR235" i="1"/>
  <c r="CR212" i="1"/>
  <c r="CR217" i="1"/>
  <c r="CR228" i="1"/>
  <c r="CR208" i="1"/>
  <c r="CR230" i="1"/>
  <c r="CR209" i="1"/>
  <c r="CR219" i="1"/>
  <c r="CR232" i="1"/>
  <c r="CR223" i="1"/>
  <c r="CR234" i="1"/>
  <c r="CR236" i="1"/>
  <c r="CV226" i="1"/>
  <c r="CV215" i="1"/>
  <c r="CV207" i="1"/>
  <c r="CV235" i="1"/>
  <c r="CV220" i="1"/>
  <c r="CV228" i="1"/>
  <c r="CV212" i="1"/>
  <c r="CV208" i="1"/>
  <c r="CV217" i="1"/>
  <c r="CV230" i="1"/>
  <c r="CV225" i="1"/>
  <c r="CV213" i="1"/>
  <c r="CV210" i="1"/>
  <c r="CV224" i="1"/>
  <c r="CV219" i="1"/>
  <c r="CV209" i="1"/>
  <c r="CV211" i="1"/>
  <c r="CV232" i="1"/>
  <c r="CV223" i="1"/>
  <c r="CV221" i="1"/>
  <c r="CV214" i="1"/>
  <c r="CV218" i="1"/>
  <c r="CV236" i="1"/>
  <c r="CV234" i="1"/>
  <c r="CV222" i="1"/>
  <c r="CV227" i="1"/>
  <c r="CV206" i="1"/>
  <c r="CV216" i="1"/>
  <c r="CV229" i="1"/>
  <c r="CV231" i="1"/>
  <c r="CV233" i="1"/>
  <c r="CX236" i="1"/>
  <c r="CW236" i="1"/>
  <c r="CT236" i="1"/>
  <c r="CS236" i="1"/>
  <c r="AS236" i="1"/>
  <c r="AO236" i="1"/>
  <c r="AK236" i="1"/>
  <c r="AG236" i="1"/>
  <c r="AC236" i="1"/>
  <c r="N236" i="1"/>
  <c r="Y236" i="1"/>
  <c r="R236" i="1"/>
  <c r="CG42" i="1"/>
  <c r="CK42" i="1"/>
  <c r="CK112" i="1" s="1"/>
  <c r="CK176" i="1" s="1"/>
  <c r="BN42" i="1"/>
  <c r="BH42" i="1"/>
  <c r="BD42" i="1"/>
  <c r="BO42" i="1"/>
  <c r="BG42" i="1"/>
  <c r="BG112" i="1" s="1"/>
  <c r="BG176" i="1" s="1"/>
  <c r="BC42" i="1"/>
  <c r="BC112" i="1" s="1"/>
  <c r="BC176" i="1" s="1"/>
  <c r="AZ42" i="1"/>
  <c r="AY42" i="1"/>
  <c r="CS42" i="1"/>
  <c r="CR42" i="1"/>
  <c r="CR112" i="1" s="1"/>
  <c r="CR176" i="1" s="1"/>
  <c r="CZ176" i="1" s="1"/>
  <c r="F41" i="2"/>
  <c r="F43" i="1"/>
  <c r="AR42" i="1"/>
  <c r="AR112" i="1" s="1"/>
  <c r="AR176" i="1" s="1"/>
  <c r="AG42" i="1"/>
  <c r="N42" i="1"/>
  <c r="AF42" i="1"/>
  <c r="AF112" i="1" s="1"/>
  <c r="AF176" i="1" s="1"/>
  <c r="AC42" i="1"/>
  <c r="BR42" i="1"/>
  <c r="AB42" i="1"/>
  <c r="AB112" i="1" s="1"/>
  <c r="AB176" i="1" s="1"/>
  <c r="R42" i="1"/>
  <c r="CW42" i="1"/>
  <c r="Q42" i="1"/>
  <c r="Q112" i="1" s="1"/>
  <c r="Q176" i="1" s="1"/>
  <c r="CV42" i="1"/>
  <c r="AJ42" i="1"/>
  <c r="Y42" i="1"/>
  <c r="X42" i="1"/>
  <c r="X112" i="1" s="1"/>
  <c r="X176" i="1" s="1"/>
  <c r="AS42" i="1"/>
  <c r="AK42" i="1"/>
  <c r="M42" i="1"/>
  <c r="M112" i="1" s="1"/>
  <c r="M176" i="1" s="1"/>
  <c r="CC42" i="1"/>
  <c r="CC112" i="1" s="1"/>
  <c r="CC176" i="1" s="1"/>
  <c r="CD42" i="1"/>
  <c r="BZ236" i="1"/>
  <c r="BO236" i="1"/>
  <c r="CD236" i="1"/>
  <c r="O41" i="2"/>
  <c r="BZ42" i="1"/>
  <c r="BY42" i="1"/>
  <c r="BY112" i="1" s="1"/>
  <c r="BY176" i="1" s="1"/>
  <c r="CA236" i="1"/>
  <c r="G42" i="2"/>
  <c r="G45" i="1" s="1"/>
  <c r="H42" i="2"/>
  <c r="H45" i="1" s="1"/>
  <c r="AH2" i="6"/>
  <c r="A44" i="12"/>
  <c r="A40" i="9"/>
  <c r="A40" i="10"/>
  <c r="C40" i="10" s="1"/>
  <c r="A41" i="2"/>
  <c r="A43" i="8" s="1"/>
  <c r="F43" i="8" s="1"/>
  <c r="A40" i="11"/>
  <c r="AJ236" i="1"/>
  <c r="AJ289" i="1" s="1"/>
  <c r="AH236" i="1"/>
  <c r="O236" i="1"/>
  <c r="BP236" i="1"/>
  <c r="AL236" i="1"/>
  <c r="S236" i="1"/>
  <c r="BE236" i="1"/>
  <c r="AP236" i="1"/>
  <c r="Z236" i="1"/>
  <c r="BI236" i="1"/>
  <c r="BA236" i="1"/>
  <c r="AT236" i="1"/>
  <c r="AD236" i="1"/>
  <c r="BH236" i="1"/>
  <c r="AZ236" i="1"/>
  <c r="BD236" i="1"/>
  <c r="AJ206" i="1"/>
  <c r="AJ207" i="1"/>
  <c r="AJ260" i="1" s="1"/>
  <c r="AJ208" i="1"/>
  <c r="AJ261" i="1" s="1"/>
  <c r="AJ209" i="1"/>
  <c r="AJ262" i="1" s="1"/>
  <c r="AJ210" i="1"/>
  <c r="AJ263" i="1" s="1"/>
  <c r="AJ211" i="1"/>
  <c r="AJ264" i="1" s="1"/>
  <c r="AJ212" i="1"/>
  <c r="AJ265" i="1" s="1"/>
  <c r="AJ213" i="1"/>
  <c r="AJ266" i="1" s="1"/>
  <c r="AJ214" i="1"/>
  <c r="AJ267" i="1" s="1"/>
  <c r="AJ215" i="1"/>
  <c r="AJ268" i="1" s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80" i="1" s="1"/>
  <c r="AJ228" i="1"/>
  <c r="AJ281" i="1" s="1"/>
  <c r="AJ229" i="1"/>
  <c r="AJ282" i="1" s="1"/>
  <c r="AJ230" i="1"/>
  <c r="AJ283" i="1" s="1"/>
  <c r="AJ231" i="1"/>
  <c r="AJ284" i="1" s="1"/>
  <c r="AJ232" i="1"/>
  <c r="AJ285" i="1" s="1"/>
  <c r="AJ233" i="1"/>
  <c r="AJ286" i="1" s="1"/>
  <c r="AJ234" i="1"/>
  <c r="AJ287" i="1" s="1"/>
  <c r="DZ236" i="1"/>
  <c r="A237" i="1"/>
  <c r="M236" i="1"/>
  <c r="M289" i="1" s="1"/>
  <c r="Q206" i="1"/>
  <c r="Q207" i="1"/>
  <c r="Q208" i="1"/>
  <c r="Q209" i="1"/>
  <c r="Q210" i="1"/>
  <c r="Q211" i="1"/>
  <c r="Q212" i="1"/>
  <c r="Q265" i="1" s="1"/>
  <c r="Q213" i="1"/>
  <c r="Q266" i="1" s="1"/>
  <c r="Q214" i="1"/>
  <c r="Q267" i="1" s="1"/>
  <c r="Q215" i="1"/>
  <c r="Q268" i="1" s="1"/>
  <c r="Q216" i="1"/>
  <c r="Q269" i="1" s="1"/>
  <c r="Q217" i="1"/>
  <c r="Q270" i="1" s="1"/>
  <c r="Q218" i="1"/>
  <c r="Q271" i="1" s="1"/>
  <c r="Q219" i="1"/>
  <c r="Q272" i="1" s="1"/>
  <c r="Q220" i="1"/>
  <c r="Q273" i="1" s="1"/>
  <c r="Q221" i="1"/>
  <c r="Q274" i="1" s="1"/>
  <c r="Q222" i="1"/>
  <c r="Q275" i="1" s="1"/>
  <c r="Q223" i="1"/>
  <c r="Q276" i="1" s="1"/>
  <c r="Q224" i="1"/>
  <c r="Q277" i="1" s="1"/>
  <c r="Q225" i="1"/>
  <c r="Q278" i="1" s="1"/>
  <c r="Q226" i="1"/>
  <c r="Q279" i="1" s="1"/>
  <c r="Q227" i="1"/>
  <c r="Q280" i="1" s="1"/>
  <c r="Q228" i="1"/>
  <c r="Q281" i="1" s="1"/>
  <c r="Q229" i="1"/>
  <c r="Q282" i="1" s="1"/>
  <c r="Q230" i="1"/>
  <c r="Q283" i="1" s="1"/>
  <c r="Q231" i="1"/>
  <c r="Q284" i="1" s="1"/>
  <c r="Q232" i="1"/>
  <c r="Q285" i="1" s="1"/>
  <c r="Q233" i="1"/>
  <c r="Q286" i="1" s="1"/>
  <c r="Q234" i="1"/>
  <c r="Q287" i="1" s="1"/>
  <c r="Q235" i="1"/>
  <c r="Q288" i="1" s="1"/>
  <c r="AR206" i="1"/>
  <c r="AR207" i="1"/>
  <c r="AR260" i="1" s="1"/>
  <c r="AR208" i="1"/>
  <c r="AR261" i="1" s="1"/>
  <c r="AR209" i="1"/>
  <c r="AR262" i="1" s="1"/>
  <c r="AR210" i="1"/>
  <c r="AR263" i="1" s="1"/>
  <c r="AR211" i="1"/>
  <c r="AR264" i="1" s="1"/>
  <c r="AR212" i="1"/>
  <c r="AR265" i="1" s="1"/>
  <c r="AR213" i="1"/>
  <c r="AR266" i="1" s="1"/>
  <c r="AR214" i="1"/>
  <c r="AR267" i="1" s="1"/>
  <c r="AR215" i="1"/>
  <c r="AR268" i="1" s="1"/>
  <c r="AR216" i="1"/>
  <c r="AR217" i="1"/>
  <c r="AR218" i="1"/>
  <c r="AR219" i="1"/>
  <c r="AR220" i="1"/>
  <c r="AR221" i="1"/>
  <c r="AR222" i="1"/>
  <c r="AR275" i="1" s="1"/>
  <c r="AR223" i="1"/>
  <c r="AR276" i="1" s="1"/>
  <c r="AR224" i="1"/>
  <c r="AR277" i="1" s="1"/>
  <c r="AR225" i="1"/>
  <c r="AR278" i="1" s="1"/>
  <c r="AR226" i="1"/>
  <c r="AR279" i="1" s="1"/>
  <c r="AR227" i="1"/>
  <c r="AR280" i="1" s="1"/>
  <c r="AR228" i="1"/>
  <c r="AR281" i="1" s="1"/>
  <c r="AR229" i="1"/>
  <c r="AR282" i="1" s="1"/>
  <c r="AR230" i="1"/>
  <c r="AR283" i="1" s="1"/>
  <c r="AR231" i="1"/>
  <c r="AR284" i="1" s="1"/>
  <c r="AR232" i="1"/>
  <c r="AR285" i="1" s="1"/>
  <c r="AR233" i="1"/>
  <c r="AR286" i="1" s="1"/>
  <c r="AR234" i="1"/>
  <c r="AR287" i="1" s="1"/>
  <c r="AW235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X206" i="1"/>
  <c r="X207" i="1"/>
  <c r="X208" i="1"/>
  <c r="X209" i="1"/>
  <c r="X210" i="1"/>
  <c r="X211" i="1"/>
  <c r="X212" i="1"/>
  <c r="X213" i="1"/>
  <c r="X266" i="1" s="1"/>
  <c r="X214" i="1"/>
  <c r="X267" i="1" s="1"/>
  <c r="X215" i="1"/>
  <c r="X268" i="1" s="1"/>
  <c r="X216" i="1"/>
  <c r="X269" i="1" s="1"/>
  <c r="X217" i="1"/>
  <c r="X270" i="1" s="1"/>
  <c r="X218" i="1"/>
  <c r="X271" i="1" s="1"/>
  <c r="X219" i="1"/>
  <c r="X272" i="1" s="1"/>
  <c r="X220" i="1"/>
  <c r="X273" i="1" s="1"/>
  <c r="X221" i="1"/>
  <c r="X274" i="1" s="1"/>
  <c r="X222" i="1"/>
  <c r="X275" i="1" s="1"/>
  <c r="X223" i="1"/>
  <c r="X276" i="1" s="1"/>
  <c r="X224" i="1"/>
  <c r="X277" i="1" s="1"/>
  <c r="X225" i="1"/>
  <c r="X278" i="1" s="1"/>
  <c r="X226" i="1"/>
  <c r="X279" i="1" s="1"/>
  <c r="X227" i="1"/>
  <c r="X280" i="1" s="1"/>
  <c r="X228" i="1"/>
  <c r="X281" i="1" s="1"/>
  <c r="X229" i="1"/>
  <c r="X282" i="1" s="1"/>
  <c r="X230" i="1"/>
  <c r="X283" i="1" s="1"/>
  <c r="X231" i="1"/>
  <c r="X284" i="1" s="1"/>
  <c r="X232" i="1"/>
  <c r="X285" i="1" s="1"/>
  <c r="X233" i="1"/>
  <c r="X286" i="1" s="1"/>
  <c r="X234" i="1"/>
  <c r="X287" i="1" s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70" i="1" s="1"/>
  <c r="AB218" i="1"/>
  <c r="AB271" i="1" s="1"/>
  <c r="AB219" i="1"/>
  <c r="AB272" i="1" s="1"/>
  <c r="AB220" i="1"/>
  <c r="AB273" i="1" s="1"/>
  <c r="AB221" i="1"/>
  <c r="AB274" i="1" s="1"/>
  <c r="AB222" i="1"/>
  <c r="AB275" i="1" s="1"/>
  <c r="AB223" i="1"/>
  <c r="AB276" i="1" s="1"/>
  <c r="AB224" i="1"/>
  <c r="AB277" i="1" s="1"/>
  <c r="AB225" i="1"/>
  <c r="AB278" i="1" s="1"/>
  <c r="AB226" i="1"/>
  <c r="AB279" i="1" s="1"/>
  <c r="AB227" i="1"/>
  <c r="AB280" i="1" s="1"/>
  <c r="AB228" i="1"/>
  <c r="AB281" i="1" s="1"/>
  <c r="AB229" i="1"/>
  <c r="AB282" i="1" s="1"/>
  <c r="AB230" i="1"/>
  <c r="AB283" i="1" s="1"/>
  <c r="AB231" i="1"/>
  <c r="AB284" i="1" s="1"/>
  <c r="AB232" i="1"/>
  <c r="AB285" i="1" s="1"/>
  <c r="AB233" i="1"/>
  <c r="AB286" i="1" s="1"/>
  <c r="AB234" i="1"/>
  <c r="AB287" i="1" s="1"/>
  <c r="M206" i="1"/>
  <c r="M207" i="1"/>
  <c r="M208" i="1"/>
  <c r="M209" i="1"/>
  <c r="M210" i="1"/>
  <c r="M211" i="1"/>
  <c r="M212" i="1"/>
  <c r="M265" i="1" s="1"/>
  <c r="M213" i="1"/>
  <c r="M266" i="1" s="1"/>
  <c r="M214" i="1"/>
  <c r="M267" i="1" s="1"/>
  <c r="M215" i="1"/>
  <c r="M268" i="1" s="1"/>
  <c r="M216" i="1"/>
  <c r="M269" i="1" s="1"/>
  <c r="M217" i="1"/>
  <c r="M270" i="1" s="1"/>
  <c r="M218" i="1"/>
  <c r="M271" i="1" s="1"/>
  <c r="M219" i="1"/>
  <c r="M272" i="1" s="1"/>
  <c r="M220" i="1"/>
  <c r="M273" i="1" s="1"/>
  <c r="M221" i="1"/>
  <c r="M274" i="1" s="1"/>
  <c r="M222" i="1"/>
  <c r="M275" i="1" s="1"/>
  <c r="M223" i="1"/>
  <c r="M224" i="1"/>
  <c r="M225" i="1"/>
  <c r="M278" i="1" s="1"/>
  <c r="M226" i="1"/>
  <c r="M227" i="1"/>
  <c r="M280" i="1" s="1"/>
  <c r="M228" i="1"/>
  <c r="M281" i="1" s="1"/>
  <c r="M229" i="1"/>
  <c r="M282" i="1" s="1"/>
  <c r="M230" i="1"/>
  <c r="M283" i="1" s="1"/>
  <c r="M231" i="1"/>
  <c r="M284" i="1" s="1"/>
  <c r="M232" i="1"/>
  <c r="M285" i="1" s="1"/>
  <c r="M233" i="1"/>
  <c r="M286" i="1" s="1"/>
  <c r="M234" i="1"/>
  <c r="M287" i="1" s="1"/>
  <c r="X236" i="1"/>
  <c r="X289" i="1" s="1"/>
  <c r="AN288" i="1"/>
  <c r="AN289" i="1"/>
  <c r="AR236" i="1"/>
  <c r="AR289" i="1" s="1"/>
  <c r="Q236" i="1"/>
  <c r="Q289" i="1" s="1"/>
  <c r="AB236" i="1"/>
  <c r="AB289" i="1" s="1"/>
  <c r="AF206" i="1"/>
  <c r="AF207" i="1"/>
  <c r="AF260" i="1" s="1"/>
  <c r="AF208" i="1"/>
  <c r="AF209" i="1"/>
  <c r="AF210" i="1"/>
  <c r="AF263" i="1" s="1"/>
  <c r="AF211" i="1"/>
  <c r="AF264" i="1" s="1"/>
  <c r="AF212" i="1"/>
  <c r="AF265" i="1" s="1"/>
  <c r="AF213" i="1"/>
  <c r="AF266" i="1" s="1"/>
  <c r="AF214" i="1"/>
  <c r="AF267" i="1" s="1"/>
  <c r="AF215" i="1"/>
  <c r="AF268" i="1" s="1"/>
  <c r="AF216" i="1"/>
  <c r="AF217" i="1"/>
  <c r="AF218" i="1"/>
  <c r="AF219" i="1"/>
  <c r="AF220" i="1"/>
  <c r="AF221" i="1"/>
  <c r="AF222" i="1"/>
  <c r="AF275" i="1" s="1"/>
  <c r="AF223" i="1"/>
  <c r="AF276" i="1" s="1"/>
  <c r="AF224" i="1"/>
  <c r="AF225" i="1"/>
  <c r="AF226" i="1"/>
  <c r="AF279" i="1" s="1"/>
  <c r="AF227" i="1"/>
  <c r="AF280" i="1" s="1"/>
  <c r="AF228" i="1"/>
  <c r="AF281" i="1" s="1"/>
  <c r="AF229" i="1"/>
  <c r="AF282" i="1" s="1"/>
  <c r="AF230" i="1"/>
  <c r="AF283" i="1" s="1"/>
  <c r="AF231" i="1"/>
  <c r="AF284" i="1" s="1"/>
  <c r="AF232" i="1"/>
  <c r="AF285" i="1" s="1"/>
  <c r="AF233" i="1"/>
  <c r="AF286" i="1" s="1"/>
  <c r="AF234" i="1"/>
  <c r="AF287" i="1" s="1"/>
  <c r="AF236" i="1"/>
  <c r="AF289" i="1" s="1"/>
  <c r="AJ235" i="1"/>
  <c r="V235" i="1"/>
  <c r="U49" i="1"/>
  <c r="AN42" i="1"/>
  <c r="AO42" i="1"/>
  <c r="U41" i="1"/>
  <c r="DZ42" i="1"/>
  <c r="A43" i="1"/>
  <c r="AG114" i="6"/>
  <c r="AG66" i="6"/>
  <c r="AG129" i="6"/>
  <c r="AG171" i="6"/>
  <c r="AG56" i="6"/>
  <c r="A43" i="6"/>
  <c r="DW41" i="1" l="1"/>
  <c r="AG82" i="6"/>
  <c r="AG83" i="6"/>
  <c r="AG34" i="6"/>
  <c r="AG24" i="6"/>
  <c r="DW110" i="1"/>
  <c r="EA110" i="1" s="1"/>
  <c r="DW174" i="1"/>
  <c r="EA174" i="1" s="1"/>
  <c r="DK43" i="1"/>
  <c r="DO43" i="1"/>
  <c r="AH8" i="6"/>
  <c r="AH11" i="6" s="1"/>
  <c r="CZ217" i="1"/>
  <c r="DE237" i="1"/>
  <c r="DD237" i="1"/>
  <c r="DC43" i="1"/>
  <c r="DE43" i="1"/>
  <c r="DD43" i="1"/>
  <c r="AY112" i="1"/>
  <c r="BK42" i="1"/>
  <c r="BL236" i="1"/>
  <c r="AY175" i="1"/>
  <c r="BK175" i="1" s="1"/>
  <c r="BK111" i="1"/>
  <c r="CZ111" i="1"/>
  <c r="CZ226" i="1"/>
  <c r="CZ225" i="1"/>
  <c r="CZ230" i="1"/>
  <c r="CZ221" i="1"/>
  <c r="CO176" i="1"/>
  <c r="BN112" i="1"/>
  <c r="BV42" i="1"/>
  <c r="BN175" i="1"/>
  <c r="BV175" i="1" s="1"/>
  <c r="BV111" i="1"/>
  <c r="CZ208" i="1"/>
  <c r="CZ212" i="1"/>
  <c r="CZ211" i="1"/>
  <c r="CZ215" i="1"/>
  <c r="CZ228" i="1"/>
  <c r="CZ227" i="1"/>
  <c r="CZ209" i="1"/>
  <c r="CZ216" i="1"/>
  <c r="CZ222" i="1"/>
  <c r="CZ213" i="1"/>
  <c r="CZ218" i="1"/>
  <c r="CZ210" i="1"/>
  <c r="CZ233" i="1"/>
  <c r="CZ236" i="1"/>
  <c r="CZ224" i="1"/>
  <c r="CZ214" i="1"/>
  <c r="CZ234" i="1"/>
  <c r="CZ235" i="1"/>
  <c r="CZ229" i="1"/>
  <c r="CZ223" i="1"/>
  <c r="CZ232" i="1"/>
  <c r="CZ206" i="1"/>
  <c r="CZ220" i="1"/>
  <c r="CZ42" i="1"/>
  <c r="CZ219" i="1"/>
  <c r="CZ207" i="1"/>
  <c r="CZ231" i="1"/>
  <c r="DA236" i="1"/>
  <c r="CO112" i="1"/>
  <c r="CO42" i="1"/>
  <c r="AV42" i="1"/>
  <c r="AV112" i="1"/>
  <c r="DS43" i="1"/>
  <c r="DC177" i="1"/>
  <c r="DG43" i="1"/>
  <c r="EA41" i="1"/>
  <c r="AH19" i="6"/>
  <c r="AH20" i="6"/>
  <c r="AH28" i="6"/>
  <c r="AH29" i="6"/>
  <c r="AH30" i="6"/>
  <c r="AH37" i="6"/>
  <c r="AH39" i="6"/>
  <c r="AH40" i="6"/>
  <c r="CV288" i="1"/>
  <c r="CV276" i="1"/>
  <c r="CV260" i="1"/>
  <c r="CV285" i="1"/>
  <c r="A164" i="6"/>
  <c r="CR289" i="1"/>
  <c r="CZ112" i="1"/>
  <c r="CR287" i="1"/>
  <c r="CR277" i="1"/>
  <c r="CR261" i="1"/>
  <c r="CR284" i="1"/>
  <c r="CR280" i="1"/>
  <c r="AV183" i="1"/>
  <c r="AV119" i="1"/>
  <c r="U119" i="1"/>
  <c r="U183" i="1"/>
  <c r="U175" i="1"/>
  <c r="U111" i="1"/>
  <c r="AV175" i="1"/>
  <c r="AV111" i="1"/>
  <c r="CV282" i="1"/>
  <c r="CV265" i="1"/>
  <c r="CR265" i="1"/>
  <c r="CR269" i="1"/>
  <c r="CV281" i="1"/>
  <c r="CR288" i="1"/>
  <c r="CR264" i="1"/>
  <c r="CV269" i="1"/>
  <c r="CV264" i="1"/>
  <c r="CV273" i="1"/>
  <c r="CR273" i="1"/>
  <c r="CV262" i="1"/>
  <c r="CV272" i="1"/>
  <c r="CR276" i="1"/>
  <c r="CV259" i="1"/>
  <c r="CV268" i="1"/>
  <c r="CR285" i="1"/>
  <c r="CR259" i="1"/>
  <c r="CG43" i="1"/>
  <c r="CK43" i="1"/>
  <c r="CK113" i="1" s="1"/>
  <c r="CK177" i="1" s="1"/>
  <c r="BO43" i="1"/>
  <c r="BN43" i="1"/>
  <c r="BH43" i="1"/>
  <c r="BD43" i="1"/>
  <c r="BG43" i="1"/>
  <c r="BG113" i="1" s="1"/>
  <c r="BG177" i="1" s="1"/>
  <c r="BC43" i="1"/>
  <c r="BC113" i="1" s="1"/>
  <c r="BC177" i="1" s="1"/>
  <c r="AZ43" i="1"/>
  <c r="AY43" i="1"/>
  <c r="CS43" i="1"/>
  <c r="CR43" i="1"/>
  <c r="CR113" i="1" s="1"/>
  <c r="CR177" i="1" s="1"/>
  <c r="CZ177" i="1" s="1"/>
  <c r="CV280" i="1"/>
  <c r="CV277" i="1"/>
  <c r="CV279" i="1"/>
  <c r="CR260" i="1"/>
  <c r="CV275" i="1"/>
  <c r="CV263" i="1"/>
  <c r="CR272" i="1"/>
  <c r="CR279" i="1"/>
  <c r="CR278" i="1"/>
  <c r="CV237" i="1"/>
  <c r="CV290" i="1" s="1"/>
  <c r="CV287" i="1"/>
  <c r="CV266" i="1"/>
  <c r="CR237" i="1"/>
  <c r="CR274" i="1"/>
  <c r="CV278" i="1"/>
  <c r="CR262" i="1"/>
  <c r="CR268" i="1"/>
  <c r="CV271" i="1"/>
  <c r="CV283" i="1"/>
  <c r="CR283" i="1"/>
  <c r="CR275" i="1"/>
  <c r="CR263" i="1"/>
  <c r="CV286" i="1"/>
  <c r="CR271" i="1"/>
  <c r="CV284" i="1"/>
  <c r="CV270" i="1"/>
  <c r="CR286" i="1"/>
  <c r="CR266" i="1"/>
  <c r="CV267" i="1"/>
  <c r="CR282" i="1"/>
  <c r="CV274" i="1"/>
  <c r="CR281" i="1"/>
  <c r="CT237" i="1"/>
  <c r="CS237" i="1"/>
  <c r="CX237" i="1"/>
  <c r="CW237" i="1"/>
  <c r="AS237" i="1"/>
  <c r="AO237" i="1"/>
  <c r="AK237" i="1"/>
  <c r="AG237" i="1"/>
  <c r="AC237" i="1"/>
  <c r="Y237" i="1"/>
  <c r="R237" i="1"/>
  <c r="N237" i="1"/>
  <c r="CV289" i="1"/>
  <c r="CV261" i="1"/>
  <c r="CR270" i="1"/>
  <c r="CR267" i="1"/>
  <c r="AR43" i="1"/>
  <c r="AR113" i="1" s="1"/>
  <c r="AR177" i="1" s="1"/>
  <c r="F42" i="2"/>
  <c r="F44" i="1"/>
  <c r="AG43" i="1"/>
  <c r="AJ43" i="1"/>
  <c r="M43" i="1"/>
  <c r="M113" i="1" s="1"/>
  <c r="M177" i="1" s="1"/>
  <c r="N43" i="1"/>
  <c r="AC43" i="1"/>
  <c r="CW43" i="1"/>
  <c r="BR43" i="1"/>
  <c r="AB43" i="1"/>
  <c r="AB113" i="1" s="1"/>
  <c r="AB177" i="1" s="1"/>
  <c r="R43" i="1"/>
  <c r="CV43" i="1"/>
  <c r="Q43" i="1"/>
  <c r="Q113" i="1" s="1"/>
  <c r="Q177" i="1" s="1"/>
  <c r="Y43" i="1"/>
  <c r="X43" i="1"/>
  <c r="X113" i="1" s="1"/>
  <c r="X177" i="1" s="1"/>
  <c r="AF43" i="1"/>
  <c r="AF113" i="1" s="1"/>
  <c r="AF177" i="1" s="1"/>
  <c r="AK43" i="1"/>
  <c r="AS43" i="1"/>
  <c r="CC43" i="1"/>
  <c r="CC113" i="1" s="1"/>
  <c r="CC177" i="1" s="1"/>
  <c r="CD43" i="1"/>
  <c r="BO237" i="1"/>
  <c r="CD237" i="1"/>
  <c r="BZ237" i="1"/>
  <c r="O42" i="2"/>
  <c r="U235" i="1"/>
  <c r="AV286" i="1"/>
  <c r="AV285" i="1"/>
  <c r="AV284" i="1"/>
  <c r="AV281" i="1"/>
  <c r="BZ43" i="1"/>
  <c r="BY43" i="1"/>
  <c r="BY113" i="1" s="1"/>
  <c r="BY177" i="1" s="1"/>
  <c r="CA237" i="1"/>
  <c r="G43" i="2"/>
  <c r="G46" i="1" s="1"/>
  <c r="H43" i="2"/>
  <c r="H46" i="1" s="1"/>
  <c r="AI2" i="6"/>
  <c r="AV283" i="1"/>
  <c r="AV287" i="1"/>
  <c r="AV282" i="1"/>
  <c r="AV280" i="1"/>
  <c r="AV289" i="1"/>
  <c r="AF271" i="1"/>
  <c r="AV263" i="1"/>
  <c r="M259" i="1"/>
  <c r="AB267" i="1"/>
  <c r="AB259" i="1"/>
  <c r="X265" i="1"/>
  <c r="AR272" i="1"/>
  <c r="Q263" i="1"/>
  <c r="AJ279" i="1"/>
  <c r="AJ271" i="1"/>
  <c r="A45" i="12"/>
  <c r="A41" i="9"/>
  <c r="A41" i="10"/>
  <c r="C41" i="10" s="1"/>
  <c r="A41" i="11"/>
  <c r="A42" i="2"/>
  <c r="A44" i="8" s="1"/>
  <c r="AV235" i="1"/>
  <c r="AJ288" i="1"/>
  <c r="AV288" i="1" s="1"/>
  <c r="AV225" i="1"/>
  <c r="AF278" i="1"/>
  <c r="AF270" i="1"/>
  <c r="AV209" i="1"/>
  <c r="AF262" i="1"/>
  <c r="AB266" i="1"/>
  <c r="X264" i="1"/>
  <c r="AR271" i="1"/>
  <c r="Q262" i="1"/>
  <c r="AJ278" i="1"/>
  <c r="AJ270" i="1"/>
  <c r="AV224" i="1"/>
  <c r="AF277" i="1"/>
  <c r="AF269" i="1"/>
  <c r="AV208" i="1"/>
  <c r="AF261" i="1"/>
  <c r="AB265" i="1"/>
  <c r="X263" i="1"/>
  <c r="AR270" i="1"/>
  <c r="Q261" i="1"/>
  <c r="AJ277" i="1"/>
  <c r="AJ269" i="1"/>
  <c r="AV268" i="1"/>
  <c r="AV260" i="1"/>
  <c r="M264" i="1"/>
  <c r="AB264" i="1"/>
  <c r="X262" i="1"/>
  <c r="AR269" i="1"/>
  <c r="Q260" i="1"/>
  <c r="AJ276" i="1"/>
  <c r="AV267" i="1"/>
  <c r="AF259" i="1"/>
  <c r="U226" i="1"/>
  <c r="M279" i="1"/>
  <c r="U210" i="1"/>
  <c r="M263" i="1"/>
  <c r="AB263" i="1"/>
  <c r="X261" i="1"/>
  <c r="AN259" i="1"/>
  <c r="Q259" i="1"/>
  <c r="AJ275" i="1"/>
  <c r="AJ259" i="1"/>
  <c r="AJ237" i="1"/>
  <c r="AF274" i="1"/>
  <c r="AV266" i="1"/>
  <c r="U209" i="1"/>
  <c r="M262" i="1"/>
  <c r="AB262" i="1"/>
  <c r="X260" i="1"/>
  <c r="AR259" i="1"/>
  <c r="AJ274" i="1"/>
  <c r="AF273" i="1"/>
  <c r="AV265" i="1"/>
  <c r="U224" i="1"/>
  <c r="M277" i="1"/>
  <c r="U208" i="1"/>
  <c r="M261" i="1"/>
  <c r="AB269" i="1"/>
  <c r="AB261" i="1"/>
  <c r="X259" i="1"/>
  <c r="AR274" i="1"/>
  <c r="AJ273" i="1"/>
  <c r="AF272" i="1"/>
  <c r="AV264" i="1"/>
  <c r="U223" i="1"/>
  <c r="M276" i="1"/>
  <c r="U207" i="1"/>
  <c r="M260" i="1"/>
  <c r="AB268" i="1"/>
  <c r="AB260" i="1"/>
  <c r="AR273" i="1"/>
  <c r="Q264" i="1"/>
  <c r="AJ272" i="1"/>
  <c r="BP237" i="1"/>
  <c r="AL237" i="1"/>
  <c r="S237" i="1"/>
  <c r="O237" i="1"/>
  <c r="BE237" i="1"/>
  <c r="AP237" i="1"/>
  <c r="Z237" i="1"/>
  <c r="BI237" i="1"/>
  <c r="BA237" i="1"/>
  <c r="AT237" i="1"/>
  <c r="AD237" i="1"/>
  <c r="BH237" i="1"/>
  <c r="AZ237" i="1"/>
  <c r="AH237" i="1"/>
  <c r="BD237" i="1"/>
  <c r="U206" i="1"/>
  <c r="U220" i="1"/>
  <c r="AV236" i="1"/>
  <c r="U221" i="1"/>
  <c r="U219" i="1"/>
  <c r="U234" i="1"/>
  <c r="U218" i="1"/>
  <c r="AV231" i="1"/>
  <c r="AV215" i="1"/>
  <c r="U233" i="1"/>
  <c r="U217" i="1"/>
  <c r="U232" i="1"/>
  <c r="U216" i="1"/>
  <c r="AV221" i="1"/>
  <c r="U231" i="1"/>
  <c r="U215" i="1"/>
  <c r="AV220" i="1"/>
  <c r="U230" i="1"/>
  <c r="U214" i="1"/>
  <c r="AV219" i="1"/>
  <c r="U228" i="1"/>
  <c r="U212" i="1"/>
  <c r="U227" i="1"/>
  <c r="U211" i="1"/>
  <c r="U229" i="1"/>
  <c r="U213" i="1"/>
  <c r="AR237" i="1"/>
  <c r="X237" i="1"/>
  <c r="V236" i="1"/>
  <c r="AF244" i="1"/>
  <c r="AV226" i="1"/>
  <c r="AV210" i="1"/>
  <c r="U225" i="1"/>
  <c r="AN290" i="1"/>
  <c r="AN244" i="1"/>
  <c r="AV223" i="1"/>
  <c r="AV207" i="1"/>
  <c r="Q237" i="1"/>
  <c r="U222" i="1"/>
  <c r="X244" i="1"/>
  <c r="AV222" i="1"/>
  <c r="AV206" i="1"/>
  <c r="Q244" i="1"/>
  <c r="AF237" i="1"/>
  <c r="AV232" i="1"/>
  <c r="AV216" i="1"/>
  <c r="M244" i="1"/>
  <c r="AR244" i="1"/>
  <c r="U236" i="1"/>
  <c r="AB244" i="1"/>
  <c r="AB237" i="1"/>
  <c r="AV230" i="1"/>
  <c r="AV214" i="1"/>
  <c r="AW236" i="1"/>
  <c r="AJ244" i="1"/>
  <c r="AV229" i="1"/>
  <c r="AV213" i="1"/>
  <c r="AV234" i="1"/>
  <c r="AV218" i="1"/>
  <c r="A238" i="1"/>
  <c r="DZ237" i="1"/>
  <c r="AV228" i="1"/>
  <c r="AV212" i="1"/>
  <c r="AV233" i="1"/>
  <c r="AV217" i="1"/>
  <c r="M237" i="1"/>
  <c r="AV227" i="1"/>
  <c r="AV211" i="1"/>
  <c r="AN43" i="1"/>
  <c r="AO43" i="1"/>
  <c r="U42" i="1"/>
  <c r="A44" i="1"/>
  <c r="DZ43" i="1"/>
  <c r="AH114" i="6"/>
  <c r="AH66" i="6"/>
  <c r="A44" i="6"/>
  <c r="DW175" i="1" l="1"/>
  <c r="AH83" i="6"/>
  <c r="AH82" i="6"/>
  <c r="AH18" i="6"/>
  <c r="AH27" i="6"/>
  <c r="AH36" i="6"/>
  <c r="AH26" i="6"/>
  <c r="AH16" i="6"/>
  <c r="AI8" i="6"/>
  <c r="AH35" i="6"/>
  <c r="AH25" i="6"/>
  <c r="AH15" i="6"/>
  <c r="DW42" i="1"/>
  <c r="EA42" i="1" s="1"/>
  <c r="AH17" i="6"/>
  <c r="AH34" i="6"/>
  <c r="AH24" i="6"/>
  <c r="AH14" i="6"/>
  <c r="AH38" i="6"/>
  <c r="DQ44" i="1"/>
  <c r="DP44" i="1"/>
  <c r="DO44" i="1"/>
  <c r="DK44" i="1"/>
  <c r="AH129" i="6"/>
  <c r="AH33" i="6"/>
  <c r="AH23" i="6"/>
  <c r="AH13" i="6"/>
  <c r="AH56" i="6"/>
  <c r="AH32" i="6"/>
  <c r="AH22" i="6"/>
  <c r="AH12" i="6"/>
  <c r="AH171" i="6"/>
  <c r="DW111" i="1"/>
  <c r="EA111" i="1" s="1"/>
  <c r="AH41" i="6"/>
  <c r="AH31" i="6"/>
  <c r="AH21" i="6"/>
  <c r="DE238" i="1"/>
  <c r="DD238" i="1"/>
  <c r="DD44" i="1"/>
  <c r="DE44" i="1"/>
  <c r="DC44" i="1"/>
  <c r="BL237" i="1"/>
  <c r="BK43" i="1"/>
  <c r="AY176" i="1"/>
  <c r="BK176" i="1" s="1"/>
  <c r="BK112" i="1"/>
  <c r="CO177" i="1"/>
  <c r="EA175" i="1"/>
  <c r="AY113" i="1"/>
  <c r="BN113" i="1"/>
  <c r="BV43" i="1"/>
  <c r="BN176" i="1"/>
  <c r="BV176" i="1" s="1"/>
  <c r="BV112" i="1"/>
  <c r="CZ261" i="1"/>
  <c r="CZ270" i="1"/>
  <c r="CZ268" i="1"/>
  <c r="CZ274" i="1"/>
  <c r="CZ276" i="1"/>
  <c r="CZ260" i="1"/>
  <c r="CZ278" i="1"/>
  <c r="CZ266" i="1"/>
  <c r="CZ279" i="1"/>
  <c r="CZ259" i="1"/>
  <c r="CZ277" i="1"/>
  <c r="CZ286" i="1"/>
  <c r="CZ272" i="1"/>
  <c r="CZ285" i="1"/>
  <c r="CZ287" i="1"/>
  <c r="CZ262" i="1"/>
  <c r="CZ282" i="1"/>
  <c r="CZ265" i="1"/>
  <c r="CZ283" i="1"/>
  <c r="CZ43" i="1"/>
  <c r="CZ284" i="1"/>
  <c r="CZ267" i="1"/>
  <c r="CZ264" i="1"/>
  <c r="CZ288" i="1"/>
  <c r="CZ289" i="1"/>
  <c r="CZ271" i="1"/>
  <c r="CZ237" i="1"/>
  <c r="CZ269" i="1"/>
  <c r="CZ281" i="1"/>
  <c r="CZ263" i="1"/>
  <c r="CZ275" i="1"/>
  <c r="CZ273" i="1"/>
  <c r="CZ280" i="1"/>
  <c r="DA237" i="1"/>
  <c r="AV43" i="1"/>
  <c r="CO113" i="1"/>
  <c r="CO43" i="1"/>
  <c r="DS44" i="1"/>
  <c r="DC178" i="1"/>
  <c r="DG44" i="1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165" i="6"/>
  <c r="CZ113" i="1"/>
  <c r="CR290" i="1"/>
  <c r="CZ290" i="1" s="1"/>
  <c r="AV176" i="1"/>
  <c r="U113" i="1"/>
  <c r="U176" i="1"/>
  <c r="U112" i="1"/>
  <c r="U269" i="1"/>
  <c r="U263" i="1"/>
  <c r="U285" i="1"/>
  <c r="U270" i="1"/>
  <c r="U279" i="1"/>
  <c r="U266" i="1"/>
  <c r="U286" i="1"/>
  <c r="U278" i="1"/>
  <c r="U282" i="1"/>
  <c r="U262" i="1"/>
  <c r="U264" i="1"/>
  <c r="U280" i="1"/>
  <c r="CR238" i="1"/>
  <c r="U271" i="1"/>
  <c r="U281" i="1"/>
  <c r="U287" i="1"/>
  <c r="U272" i="1"/>
  <c r="U277" i="1"/>
  <c r="U275" i="1"/>
  <c r="U267" i="1"/>
  <c r="U274" i="1"/>
  <c r="U289" i="1"/>
  <c r="U283" i="1"/>
  <c r="U288" i="1"/>
  <c r="CX238" i="1"/>
  <c r="CW238" i="1"/>
  <c r="CT238" i="1"/>
  <c r="CS238" i="1"/>
  <c r="AO238" i="1"/>
  <c r="AK238" i="1"/>
  <c r="AG238" i="1"/>
  <c r="AS238" i="1"/>
  <c r="Y238" i="1"/>
  <c r="R238" i="1"/>
  <c r="N238" i="1"/>
  <c r="AC238" i="1"/>
  <c r="U273" i="1"/>
  <c r="U276" i="1"/>
  <c r="U265" i="1"/>
  <c r="U268" i="1"/>
  <c r="CV238" i="1"/>
  <c r="U284" i="1"/>
  <c r="CG44" i="1"/>
  <c r="BO44" i="1"/>
  <c r="CK44" i="1"/>
  <c r="CK114" i="1" s="1"/>
  <c r="CK178" i="1" s="1"/>
  <c r="BN44" i="1"/>
  <c r="BH44" i="1"/>
  <c r="BG44" i="1"/>
  <c r="BG114" i="1" s="1"/>
  <c r="BG178" i="1" s="1"/>
  <c r="BC44" i="1"/>
  <c r="BC114" i="1" s="1"/>
  <c r="BC178" i="1" s="1"/>
  <c r="AZ44" i="1"/>
  <c r="CS44" i="1"/>
  <c r="AY44" i="1"/>
  <c r="CR44" i="1"/>
  <c r="CR114" i="1" s="1"/>
  <c r="CR178" i="1" s="1"/>
  <c r="CZ178" i="1" s="1"/>
  <c r="BD44" i="1"/>
  <c r="F43" i="2"/>
  <c r="F45" i="1"/>
  <c r="AR44" i="1"/>
  <c r="AR114" i="1" s="1"/>
  <c r="AR178" i="1" s="1"/>
  <c r="AF44" i="1"/>
  <c r="AF114" i="1" s="1"/>
  <c r="AF178" i="1" s="1"/>
  <c r="AC44" i="1"/>
  <c r="AJ44" i="1"/>
  <c r="AB44" i="1"/>
  <c r="AB114" i="1" s="1"/>
  <c r="AB178" i="1" s="1"/>
  <c r="CW44" i="1"/>
  <c r="CV44" i="1"/>
  <c r="BS44" i="1"/>
  <c r="BR44" i="1"/>
  <c r="R44" i="1"/>
  <c r="Q44" i="1"/>
  <c r="Q114" i="1" s="1"/>
  <c r="Q178" i="1" s="1"/>
  <c r="M44" i="1"/>
  <c r="M114" i="1" s="1"/>
  <c r="M178" i="1" s="1"/>
  <c r="N44" i="1"/>
  <c r="Y44" i="1"/>
  <c r="X44" i="1"/>
  <c r="X114" i="1" s="1"/>
  <c r="X178" i="1" s="1"/>
  <c r="AG44" i="1"/>
  <c r="AS44" i="1"/>
  <c r="AK44" i="1"/>
  <c r="CC44" i="1"/>
  <c r="CC114" i="1" s="1"/>
  <c r="CC178" i="1" s="1"/>
  <c r="CD44" i="1"/>
  <c r="BO238" i="1"/>
  <c r="CD238" i="1"/>
  <c r="BZ238" i="1"/>
  <c r="O43" i="2"/>
  <c r="BZ44" i="1"/>
  <c r="BY44" i="1"/>
  <c r="BY114" i="1" s="1"/>
  <c r="BY178" i="1" s="1"/>
  <c r="CA238" i="1"/>
  <c r="H44" i="2"/>
  <c r="H47" i="1" s="1"/>
  <c r="G44" i="2"/>
  <c r="G47" i="1" s="1"/>
  <c r="U259" i="1"/>
  <c r="U260" i="1"/>
  <c r="U261" i="1"/>
  <c r="AJ2" i="6"/>
  <c r="AV272" i="1"/>
  <c r="AV274" i="1"/>
  <c r="AB290" i="1"/>
  <c r="AV261" i="1"/>
  <c r="AR297" i="1"/>
  <c r="AJ297" i="1"/>
  <c r="Q290" i="1"/>
  <c r="M297" i="1"/>
  <c r="A42" i="10"/>
  <c r="C42" i="10" s="1"/>
  <c r="A42" i="11"/>
  <c r="A46" i="12"/>
  <c r="A43" i="2"/>
  <c r="A45" i="8" s="1"/>
  <c r="A42" i="9"/>
  <c r="X297" i="1"/>
  <c r="AJ290" i="1"/>
  <c r="AV262" i="1"/>
  <c r="X290" i="1"/>
  <c r="AV273" i="1"/>
  <c r="AN297" i="1"/>
  <c r="AF290" i="1"/>
  <c r="AV269" i="1"/>
  <c r="AR290" i="1"/>
  <c r="AF297" i="1"/>
  <c r="AV259" i="1"/>
  <c r="AV277" i="1"/>
  <c r="AV271" i="1"/>
  <c r="M290" i="1"/>
  <c r="AB297" i="1"/>
  <c r="AV270" i="1"/>
  <c r="AV279" i="1"/>
  <c r="Q297" i="1"/>
  <c r="AV278" i="1"/>
  <c r="AJ238" i="1"/>
  <c r="AV275" i="1"/>
  <c r="AV276" i="1"/>
  <c r="BP238" i="1"/>
  <c r="AL238" i="1"/>
  <c r="S238" i="1"/>
  <c r="O238" i="1"/>
  <c r="BE238" i="1"/>
  <c r="AP238" i="1"/>
  <c r="Z238" i="1"/>
  <c r="BI238" i="1"/>
  <c r="BA238" i="1"/>
  <c r="AT238" i="1"/>
  <c r="AD238" i="1"/>
  <c r="AH238" i="1"/>
  <c r="BH238" i="1"/>
  <c r="AZ238" i="1"/>
  <c r="BD238" i="1"/>
  <c r="U237" i="1"/>
  <c r="AW237" i="1"/>
  <c r="V237" i="1"/>
  <c r="AV237" i="1"/>
  <c r="M238" i="1"/>
  <c r="AF238" i="1"/>
  <c r="AV244" i="1"/>
  <c r="U244" i="1"/>
  <c r="X238" i="1"/>
  <c r="Q238" i="1"/>
  <c r="AB238" i="1"/>
  <c r="AB291" i="1" s="1"/>
  <c r="A239" i="1"/>
  <c r="DZ238" i="1"/>
  <c r="AR238" i="1"/>
  <c r="AN44" i="1"/>
  <c r="AO44" i="1"/>
  <c r="U43" i="1"/>
  <c r="A45" i="1"/>
  <c r="DZ44" i="1"/>
  <c r="A45" i="6"/>
  <c r="AI66" i="6"/>
  <c r="AI114" i="6"/>
  <c r="AI129" i="6"/>
  <c r="AI56" i="6"/>
  <c r="AI171" i="6"/>
  <c r="DW112" i="1" l="1"/>
  <c r="DW176" i="1"/>
  <c r="AI82" i="6"/>
  <c r="AI83" i="6"/>
  <c r="AJ8" i="6"/>
  <c r="AJ20" i="6" s="1"/>
  <c r="DP45" i="1"/>
  <c r="DO45" i="1"/>
  <c r="DK45" i="1"/>
  <c r="DQ45" i="1"/>
  <c r="DW43" i="1"/>
  <c r="EA43" i="1" s="1"/>
  <c r="DP239" i="1"/>
  <c r="DQ239" i="1"/>
  <c r="DE239" i="1"/>
  <c r="DD239" i="1"/>
  <c r="EA176" i="1"/>
  <c r="BL238" i="1"/>
  <c r="DD45" i="1"/>
  <c r="DE45" i="1"/>
  <c r="DC45" i="1"/>
  <c r="AY177" i="1"/>
  <c r="BK177" i="1" s="1"/>
  <c r="BK113" i="1"/>
  <c r="AY114" i="1"/>
  <c r="BK44" i="1"/>
  <c r="EA112" i="1"/>
  <c r="CO178" i="1"/>
  <c r="BN177" i="1"/>
  <c r="BV177" i="1" s="1"/>
  <c r="BV113" i="1"/>
  <c r="BN114" i="1"/>
  <c r="BV44" i="1"/>
  <c r="DA238" i="1"/>
  <c r="CZ44" i="1"/>
  <c r="CZ238" i="1"/>
  <c r="CO114" i="1"/>
  <c r="CO44" i="1"/>
  <c r="AV44" i="1"/>
  <c r="DG45" i="1"/>
  <c r="DS45" i="1"/>
  <c r="DC179" i="1"/>
  <c r="AJ16" i="6"/>
  <c r="AJ17" i="6"/>
  <c r="AJ18" i="6"/>
  <c r="AJ26" i="6"/>
  <c r="AJ27" i="6"/>
  <c r="AJ28" i="6"/>
  <c r="AJ36" i="6"/>
  <c r="AJ37" i="6"/>
  <c r="AJ38" i="6"/>
  <c r="A166" i="6"/>
  <c r="CZ114" i="1"/>
  <c r="U177" i="1"/>
  <c r="AV177" i="1"/>
  <c r="AV113" i="1"/>
  <c r="CT239" i="1"/>
  <c r="CS239" i="1"/>
  <c r="CX239" i="1"/>
  <c r="CW239" i="1"/>
  <c r="AK239" i="1"/>
  <c r="AG239" i="1"/>
  <c r="AO239" i="1"/>
  <c r="AS239" i="1"/>
  <c r="R239" i="1"/>
  <c r="N239" i="1"/>
  <c r="AC239" i="1"/>
  <c r="Y239" i="1"/>
  <c r="U290" i="1"/>
  <c r="CR239" i="1"/>
  <c r="CR291" i="1"/>
  <c r="BN45" i="1"/>
  <c r="BH45" i="1"/>
  <c r="CS45" i="1"/>
  <c r="BG45" i="1"/>
  <c r="BG115" i="1" s="1"/>
  <c r="BG179" i="1" s="1"/>
  <c r="BC45" i="1"/>
  <c r="BC115" i="1" s="1"/>
  <c r="BC179" i="1" s="1"/>
  <c r="AZ45" i="1"/>
  <c r="CR45" i="1"/>
  <c r="CR115" i="1" s="1"/>
  <c r="CR179" i="1" s="1"/>
  <c r="CZ179" i="1" s="1"/>
  <c r="AY45" i="1"/>
  <c r="BD45" i="1"/>
  <c r="BO45" i="1"/>
  <c r="CG45" i="1"/>
  <c r="CK45" i="1"/>
  <c r="CK115" i="1" s="1"/>
  <c r="CK179" i="1" s="1"/>
  <c r="CV291" i="1"/>
  <c r="CV239" i="1"/>
  <c r="AR45" i="1"/>
  <c r="AR115" i="1" s="1"/>
  <c r="AR179" i="1" s="1"/>
  <c r="F44" i="2"/>
  <c r="F46" i="1"/>
  <c r="CW45" i="1"/>
  <c r="AJ45" i="1"/>
  <c r="X45" i="1"/>
  <c r="X115" i="1" s="1"/>
  <c r="X179" i="1" s="1"/>
  <c r="R45" i="1"/>
  <c r="CV45" i="1"/>
  <c r="BS45" i="1"/>
  <c r="BR45" i="1"/>
  <c r="AK45" i="1"/>
  <c r="AC45" i="1"/>
  <c r="Q45" i="1"/>
  <c r="Q115" i="1" s="1"/>
  <c r="Q179" i="1" s="1"/>
  <c r="AB45" i="1"/>
  <c r="AB115" i="1" s="1"/>
  <c r="AB179" i="1" s="1"/>
  <c r="M45" i="1"/>
  <c r="M115" i="1" s="1"/>
  <c r="M179" i="1" s="1"/>
  <c r="Y45" i="1"/>
  <c r="N45" i="1"/>
  <c r="AG45" i="1"/>
  <c r="AF45" i="1"/>
  <c r="AF115" i="1" s="1"/>
  <c r="AF179" i="1" s="1"/>
  <c r="AS45" i="1"/>
  <c r="CD45" i="1"/>
  <c r="CC45" i="1"/>
  <c r="CC115" i="1" s="1"/>
  <c r="CC179" i="1" s="1"/>
  <c r="BO239" i="1"/>
  <c r="CD239" i="1"/>
  <c r="BS239" i="1"/>
  <c r="BZ239" i="1"/>
  <c r="O44" i="2"/>
  <c r="U297" i="1"/>
  <c r="BZ45" i="1"/>
  <c r="BY45" i="1"/>
  <c r="BY115" i="1" s="1"/>
  <c r="BY179" i="1" s="1"/>
  <c r="CA239" i="1"/>
  <c r="AK2" i="6"/>
  <c r="AV290" i="1"/>
  <c r="Q291" i="1"/>
  <c r="AV297" i="1"/>
  <c r="AF291" i="1"/>
  <c r="X291" i="1"/>
  <c r="M291" i="1"/>
  <c r="AN291" i="1"/>
  <c r="A43" i="9"/>
  <c r="A43" i="10"/>
  <c r="C43" i="10" s="1"/>
  <c r="A43" i="11"/>
  <c r="A47" i="12"/>
  <c r="A44" i="2"/>
  <c r="A46" i="8" s="1"/>
  <c r="AJ291" i="1"/>
  <c r="AJ239" i="1"/>
  <c r="AJ292" i="1" s="1"/>
  <c r="AR291" i="1"/>
  <c r="BP239" i="1"/>
  <c r="AL239" i="1"/>
  <c r="S239" i="1"/>
  <c r="BE239" i="1"/>
  <c r="AP239" i="1"/>
  <c r="Z239" i="1"/>
  <c r="O239" i="1"/>
  <c r="BI239" i="1"/>
  <c r="BA239" i="1"/>
  <c r="AT239" i="1"/>
  <c r="AD239" i="1"/>
  <c r="AH239" i="1"/>
  <c r="BH239" i="1"/>
  <c r="AZ239" i="1"/>
  <c r="BD239" i="1"/>
  <c r="U238" i="1"/>
  <c r="DZ239" i="1"/>
  <c r="A240" i="1"/>
  <c r="AF239" i="1"/>
  <c r="AW238" i="1"/>
  <c r="Q239" i="1"/>
  <c r="AB239" i="1"/>
  <c r="M239" i="1"/>
  <c r="M292" i="1" s="1"/>
  <c r="AV238" i="1"/>
  <c r="AR239" i="1"/>
  <c r="X239" i="1"/>
  <c r="V238" i="1"/>
  <c r="AN45" i="1"/>
  <c r="AO45" i="1"/>
  <c r="U44" i="1"/>
  <c r="DZ45" i="1"/>
  <c r="A46" i="1"/>
  <c r="A46" i="6"/>
  <c r="DW113" i="1" l="1"/>
  <c r="DW44" i="1"/>
  <c r="EA44" i="1" s="1"/>
  <c r="AJ15" i="6"/>
  <c r="AJ34" i="6"/>
  <c r="AJ33" i="6"/>
  <c r="AJ114" i="6"/>
  <c r="AJ39" i="6"/>
  <c r="AJ29" i="6"/>
  <c r="AJ19" i="6"/>
  <c r="DW177" i="1"/>
  <c r="EA177" i="1" s="1"/>
  <c r="AJ25" i="6"/>
  <c r="DK46" i="1"/>
  <c r="DO46" i="1"/>
  <c r="DQ46" i="1"/>
  <c r="DP46" i="1"/>
  <c r="AJ35" i="6"/>
  <c r="DP240" i="1"/>
  <c r="DQ240" i="1"/>
  <c r="AJ24" i="6"/>
  <c r="AJ14" i="6"/>
  <c r="AJ23" i="6"/>
  <c r="AJ129" i="6"/>
  <c r="AJ42" i="6"/>
  <c r="AJ32" i="6"/>
  <c r="AJ22" i="6"/>
  <c r="AJ12" i="6"/>
  <c r="AJ56" i="6"/>
  <c r="AJ43" i="6"/>
  <c r="AJ13" i="6"/>
  <c r="AJ171" i="6"/>
  <c r="AK8" i="6"/>
  <c r="AK28" i="6" s="1"/>
  <c r="AJ41" i="6"/>
  <c r="AJ31" i="6"/>
  <c r="AJ21" i="6"/>
  <c r="AJ11" i="6"/>
  <c r="AJ66" i="6"/>
  <c r="AJ40" i="6"/>
  <c r="AJ30" i="6"/>
  <c r="DE240" i="1"/>
  <c r="DD240" i="1"/>
  <c r="DE46" i="1"/>
  <c r="DD46" i="1"/>
  <c r="DC46" i="1"/>
  <c r="EA113" i="1"/>
  <c r="BL239" i="1"/>
  <c r="BK45" i="1"/>
  <c r="AY178" i="1"/>
  <c r="BK178" i="1" s="1"/>
  <c r="BK114" i="1"/>
  <c r="BN115" i="1"/>
  <c r="BV45" i="1"/>
  <c r="CO179" i="1"/>
  <c r="AY115" i="1"/>
  <c r="BN178" i="1"/>
  <c r="BV178" i="1" s="1"/>
  <c r="BV114" i="1"/>
  <c r="DA239" i="1"/>
  <c r="CZ291" i="1"/>
  <c r="CZ239" i="1"/>
  <c r="CZ45" i="1"/>
  <c r="AV115" i="1"/>
  <c r="AV45" i="1"/>
  <c r="CO115" i="1"/>
  <c r="CO45" i="1"/>
  <c r="U115" i="1"/>
  <c r="DC180" i="1"/>
  <c r="DS46" i="1"/>
  <c r="DG46" i="1"/>
  <c r="AK11" i="6"/>
  <c r="AK12" i="6"/>
  <c r="AK13" i="6"/>
  <c r="AK20" i="6"/>
  <c r="AK21" i="6"/>
  <c r="AK22" i="6"/>
  <c r="AK23" i="6"/>
  <c r="AK30" i="6"/>
  <c r="AK31" i="6"/>
  <c r="AK32" i="6"/>
  <c r="AK33" i="6"/>
  <c r="AK40" i="6"/>
  <c r="AK41" i="6"/>
  <c r="AK42" i="6"/>
  <c r="AK43" i="6"/>
  <c r="A167" i="6"/>
  <c r="CZ115" i="1"/>
  <c r="U178" i="1"/>
  <c r="U114" i="1"/>
  <c r="AV178" i="1"/>
  <c r="AV114" i="1"/>
  <c r="U291" i="1"/>
  <c r="CR292" i="1"/>
  <c r="CV292" i="1"/>
  <c r="CR240" i="1"/>
  <c r="CX240" i="1"/>
  <c r="CW240" i="1"/>
  <c r="CT240" i="1"/>
  <c r="CS240" i="1"/>
  <c r="AG240" i="1"/>
  <c r="AK240" i="1"/>
  <c r="AS240" i="1"/>
  <c r="AO240" i="1"/>
  <c r="N240" i="1"/>
  <c r="AC240" i="1"/>
  <c r="Y240" i="1"/>
  <c r="R240" i="1"/>
  <c r="CV240" i="1"/>
  <c r="BN46" i="1"/>
  <c r="BH46" i="1"/>
  <c r="CS46" i="1"/>
  <c r="CK46" i="1"/>
  <c r="CK116" i="1" s="1"/>
  <c r="CK180" i="1" s="1"/>
  <c r="CR46" i="1"/>
  <c r="CR116" i="1" s="1"/>
  <c r="CR180" i="1" s="1"/>
  <c r="CZ180" i="1" s="1"/>
  <c r="BG46" i="1"/>
  <c r="BG116" i="1" s="1"/>
  <c r="BG180" i="1" s="1"/>
  <c r="BC46" i="1"/>
  <c r="BC116" i="1" s="1"/>
  <c r="BC180" i="1" s="1"/>
  <c r="AZ46" i="1"/>
  <c r="AY46" i="1"/>
  <c r="CH46" i="1"/>
  <c r="BD46" i="1"/>
  <c r="CL46" i="1"/>
  <c r="BO46" i="1"/>
  <c r="CG46" i="1"/>
  <c r="F47" i="1"/>
  <c r="AR46" i="1"/>
  <c r="AR116" i="1" s="1"/>
  <c r="AR180" i="1" s="1"/>
  <c r="BS46" i="1"/>
  <c r="N46" i="1"/>
  <c r="BR46" i="1"/>
  <c r="CW46" i="1"/>
  <c r="AB46" i="1"/>
  <c r="AB116" i="1" s="1"/>
  <c r="AB180" i="1" s="1"/>
  <c r="Q46" i="1"/>
  <c r="Q116" i="1" s="1"/>
  <c r="Q180" i="1" s="1"/>
  <c r="AS46" i="1"/>
  <c r="CV46" i="1"/>
  <c r="AK46" i="1"/>
  <c r="Y46" i="1"/>
  <c r="X46" i="1"/>
  <c r="X116" i="1" s="1"/>
  <c r="X180" i="1" s="1"/>
  <c r="M46" i="1"/>
  <c r="M116" i="1" s="1"/>
  <c r="M180" i="1" s="1"/>
  <c r="AJ46" i="1"/>
  <c r="AG46" i="1"/>
  <c r="AF46" i="1"/>
  <c r="AF116" i="1" s="1"/>
  <c r="AF180" i="1" s="1"/>
  <c r="AC46" i="1"/>
  <c r="R46" i="1"/>
  <c r="CD46" i="1"/>
  <c r="CC46" i="1"/>
  <c r="CC116" i="1" s="1"/>
  <c r="CC180" i="1" s="1"/>
  <c r="CD240" i="1"/>
  <c r="BS240" i="1"/>
  <c r="BZ240" i="1"/>
  <c r="BO240" i="1"/>
  <c r="BZ46" i="1"/>
  <c r="BY46" i="1"/>
  <c r="BY116" i="1" s="1"/>
  <c r="BY180" i="1" s="1"/>
  <c r="CA240" i="1"/>
  <c r="AL2" i="6"/>
  <c r="AJ240" i="1"/>
  <c r="AJ293" i="1" s="1"/>
  <c r="AR292" i="1"/>
  <c r="AN292" i="1"/>
  <c r="AF292" i="1"/>
  <c r="A44" i="9"/>
  <c r="A44" i="10"/>
  <c r="C44" i="10" s="1"/>
  <c r="A44" i="11"/>
  <c r="A48" i="12"/>
  <c r="AB292" i="1"/>
  <c r="X292" i="1"/>
  <c r="Q292" i="1"/>
  <c r="AV291" i="1"/>
  <c r="BP240" i="1"/>
  <c r="AL240" i="1"/>
  <c r="S240" i="1"/>
  <c r="BE240" i="1"/>
  <c r="AP240" i="1"/>
  <c r="Z240" i="1"/>
  <c r="O240" i="1"/>
  <c r="BI240" i="1"/>
  <c r="BA240" i="1"/>
  <c r="AT240" i="1"/>
  <c r="AD240" i="1"/>
  <c r="AH240" i="1"/>
  <c r="BH240" i="1"/>
  <c r="AZ240" i="1"/>
  <c r="BD240" i="1"/>
  <c r="U239" i="1"/>
  <c r="AV239" i="1"/>
  <c r="V239" i="1"/>
  <c r="AR240" i="1"/>
  <c r="AR293" i="1" s="1"/>
  <c r="AW239" i="1"/>
  <c r="X240" i="1"/>
  <c r="X293" i="1" s="1"/>
  <c r="Q240" i="1"/>
  <c r="Q293" i="1" s="1"/>
  <c r="DZ240" i="1"/>
  <c r="A241" i="1"/>
  <c r="M240" i="1"/>
  <c r="M293" i="1" s="1"/>
  <c r="AN293" i="1"/>
  <c r="AF240" i="1"/>
  <c r="AF293" i="1" s="1"/>
  <c r="AB240" i="1"/>
  <c r="AB293" i="1" s="1"/>
  <c r="AN46" i="1"/>
  <c r="AO46" i="1"/>
  <c r="U45" i="1"/>
  <c r="A47" i="1"/>
  <c r="DZ46" i="1"/>
  <c r="A47" i="6"/>
  <c r="AK114" i="6"/>
  <c r="AK66" i="6"/>
  <c r="AK56" i="6"/>
  <c r="AK171" i="6"/>
  <c r="AK129" i="6"/>
  <c r="DW178" i="1" l="1"/>
  <c r="AK35" i="6"/>
  <c r="AK25" i="6"/>
  <c r="AK15" i="6"/>
  <c r="AK44" i="6"/>
  <c r="AK34" i="6"/>
  <c r="AK24" i="6"/>
  <c r="AK14" i="6"/>
  <c r="DW45" i="1"/>
  <c r="EA45" i="1" s="1"/>
  <c r="AL8" i="6"/>
  <c r="AL20" i="6" s="1"/>
  <c r="AK82" i="6"/>
  <c r="AK83" i="6"/>
  <c r="DW114" i="1"/>
  <c r="EA114" i="1" s="1"/>
  <c r="AK39" i="6"/>
  <c r="AK29" i="6"/>
  <c r="AK19" i="6"/>
  <c r="DQ241" i="1"/>
  <c r="DP241" i="1"/>
  <c r="AK38" i="6"/>
  <c r="AK18" i="6"/>
  <c r="AK37" i="6"/>
  <c r="AK27" i="6"/>
  <c r="AK17" i="6"/>
  <c r="AJ82" i="6"/>
  <c r="AJ83" i="6"/>
  <c r="DQ47" i="1"/>
  <c r="DP47" i="1"/>
  <c r="DO47" i="1"/>
  <c r="DK47" i="1"/>
  <c r="DM20" i="1" s="1"/>
  <c r="AK36" i="6"/>
  <c r="AK26" i="6"/>
  <c r="AK16" i="6"/>
  <c r="DE241" i="1"/>
  <c r="DD241" i="1"/>
  <c r="DC47" i="1"/>
  <c r="DE47" i="1"/>
  <c r="DD47" i="1"/>
  <c r="BL240" i="1"/>
  <c r="BK46" i="1"/>
  <c r="AY179" i="1"/>
  <c r="BK179" i="1" s="1"/>
  <c r="BK115" i="1"/>
  <c r="DW115" i="1" s="1"/>
  <c r="EA178" i="1"/>
  <c r="BN116" i="1"/>
  <c r="BV46" i="1"/>
  <c r="AY116" i="1"/>
  <c r="CO180" i="1"/>
  <c r="BN179" i="1"/>
  <c r="BV179" i="1" s="1"/>
  <c r="BV115" i="1"/>
  <c r="CZ240" i="1"/>
  <c r="DA240" i="1"/>
  <c r="CZ46" i="1"/>
  <c r="CZ292" i="1"/>
  <c r="CO116" i="1"/>
  <c r="CO46" i="1"/>
  <c r="AV46" i="1"/>
  <c r="DG47" i="1"/>
  <c r="DS47" i="1"/>
  <c r="DC181" i="1"/>
  <c r="AL11" i="6"/>
  <c r="AL12" i="6"/>
  <c r="AL13" i="6"/>
  <c r="AL14" i="6"/>
  <c r="AL15" i="6"/>
  <c r="AL16" i="6"/>
  <c r="AL17" i="6"/>
  <c r="AL18" i="6"/>
  <c r="AL19" i="6"/>
  <c r="AL21" i="6"/>
  <c r="AL22" i="6"/>
  <c r="AL23" i="6"/>
  <c r="AL24" i="6"/>
  <c r="AL25" i="6"/>
  <c r="AL26" i="6"/>
  <c r="AL27" i="6"/>
  <c r="AL28" i="6"/>
  <c r="AL29" i="6"/>
  <c r="AL31" i="6"/>
  <c r="AL32" i="6"/>
  <c r="AL33" i="6"/>
  <c r="AL34" i="6"/>
  <c r="AL35" i="6"/>
  <c r="AL36" i="6"/>
  <c r="AL37" i="6"/>
  <c r="AL38" i="6"/>
  <c r="AL39" i="6"/>
  <c r="AL41" i="6"/>
  <c r="AL42" i="6"/>
  <c r="AL43" i="6"/>
  <c r="AL44" i="6"/>
  <c r="AL45" i="6"/>
  <c r="CZ116" i="1"/>
  <c r="AV179" i="1"/>
  <c r="U179" i="1"/>
  <c r="CV241" i="1"/>
  <c r="CR241" i="1"/>
  <c r="CV293" i="1"/>
  <c r="CR293" i="1"/>
  <c r="CX241" i="1"/>
  <c r="CW241" i="1"/>
  <c r="CT241" i="1"/>
  <c r="CS241" i="1"/>
  <c r="AO241" i="1"/>
  <c r="AK241" i="1"/>
  <c r="AG241" i="1"/>
  <c r="AS241" i="1"/>
  <c r="N241" i="1"/>
  <c r="AC241" i="1"/>
  <c r="Y241" i="1"/>
  <c r="R241" i="1"/>
  <c r="U292" i="1"/>
  <c r="CR47" i="1"/>
  <c r="CR117" i="1" s="1"/>
  <c r="CR181" i="1" s="1"/>
  <c r="CZ181" i="1" s="1"/>
  <c r="BG47" i="1"/>
  <c r="BG117" i="1" s="1"/>
  <c r="BG181" i="1" s="1"/>
  <c r="BC47" i="1"/>
  <c r="BC117" i="1" s="1"/>
  <c r="BC181" i="1" s="1"/>
  <c r="AZ47" i="1"/>
  <c r="AY47" i="1"/>
  <c r="CH47" i="1"/>
  <c r="BD47" i="1"/>
  <c r="CL47" i="1"/>
  <c r="BO47" i="1"/>
  <c r="CG47" i="1"/>
  <c r="CS47" i="1"/>
  <c r="CK47" i="1"/>
  <c r="CK117" i="1" s="1"/>
  <c r="CK181" i="1" s="1"/>
  <c r="BN47" i="1"/>
  <c r="BH47" i="1"/>
  <c r="AR47" i="1"/>
  <c r="AR117" i="1" s="1"/>
  <c r="AR181" i="1" s="1"/>
  <c r="AS47" i="1"/>
  <c r="Y47" i="1"/>
  <c r="AK47" i="1"/>
  <c r="X47" i="1"/>
  <c r="X117" i="1" s="1"/>
  <c r="AJ47" i="1"/>
  <c r="AG47" i="1"/>
  <c r="AF47" i="1"/>
  <c r="AF117" i="1" s="1"/>
  <c r="AF181" i="1" s="1"/>
  <c r="N47" i="1"/>
  <c r="CW47" i="1"/>
  <c r="BS47" i="1"/>
  <c r="AC47" i="1"/>
  <c r="R47" i="1"/>
  <c r="CV47" i="1"/>
  <c r="BR47" i="1"/>
  <c r="AB47" i="1"/>
  <c r="AB117" i="1" s="1"/>
  <c r="AB181" i="1" s="1"/>
  <c r="Q47" i="1"/>
  <c r="Q117" i="1" s="1"/>
  <c r="Q181" i="1" s="1"/>
  <c r="M47" i="1"/>
  <c r="M117" i="1" s="1"/>
  <c r="CD47" i="1"/>
  <c r="CC47" i="1"/>
  <c r="CC117" i="1" s="1"/>
  <c r="CC181" i="1" s="1"/>
  <c r="CL241" i="1"/>
  <c r="CH241" i="1"/>
  <c r="BZ241" i="1"/>
  <c r="CD241" i="1"/>
  <c r="BS241" i="1"/>
  <c r="BO241" i="1"/>
  <c r="AL171" i="6"/>
  <c r="AL129" i="6"/>
  <c r="BY47" i="1"/>
  <c r="BY117" i="1" s="1"/>
  <c r="BY181" i="1" s="1"/>
  <c r="BZ47" i="1"/>
  <c r="CA241" i="1"/>
  <c r="AM2" i="6"/>
  <c r="AV293" i="1"/>
  <c r="AJ241" i="1"/>
  <c r="AJ294" i="1" s="1"/>
  <c r="AV292" i="1"/>
  <c r="BE241" i="1"/>
  <c r="AP241" i="1"/>
  <c r="Z241" i="1"/>
  <c r="BT241" i="1"/>
  <c r="BI241" i="1"/>
  <c r="BA241" i="1"/>
  <c r="AT241" i="1"/>
  <c r="AD241" i="1"/>
  <c r="O241" i="1"/>
  <c r="AH241" i="1"/>
  <c r="S241" i="1"/>
  <c r="AL241" i="1"/>
  <c r="BP241" i="1"/>
  <c r="BD241" i="1"/>
  <c r="BH241" i="1"/>
  <c r="AZ241" i="1"/>
  <c r="U240" i="1"/>
  <c r="AV240" i="1"/>
  <c r="A242" i="1"/>
  <c r="DZ241" i="1"/>
  <c r="AF241" i="1"/>
  <c r="AF294" i="1" s="1"/>
  <c r="X241" i="1"/>
  <c r="X294" i="1" s="1"/>
  <c r="AB241" i="1"/>
  <c r="AB294" i="1" s="1"/>
  <c r="Q241" i="1"/>
  <c r="Q294" i="1" s="1"/>
  <c r="AW240" i="1"/>
  <c r="AN294" i="1"/>
  <c r="M241" i="1"/>
  <c r="M294" i="1" s="1"/>
  <c r="AR241" i="1"/>
  <c r="V240" i="1"/>
  <c r="AN47" i="1"/>
  <c r="AO47" i="1"/>
  <c r="U46" i="1"/>
  <c r="DZ47" i="1"/>
  <c r="AL66" i="6"/>
  <c r="AL114" i="6"/>
  <c r="AL56" i="6"/>
  <c r="DU20" i="1" l="1"/>
  <c r="DQ20" i="1"/>
  <c r="M181" i="1"/>
  <c r="O81" i="1"/>
  <c r="X181" i="1"/>
  <c r="Z81" i="1"/>
  <c r="DI11" i="1"/>
  <c r="DI20" i="1"/>
  <c r="DW46" i="1"/>
  <c r="EA46" i="1" s="1"/>
  <c r="AL40" i="6"/>
  <c r="AL30" i="6"/>
  <c r="DW179" i="1"/>
  <c r="EA179" i="1" s="1"/>
  <c r="AM8" i="6"/>
  <c r="AM18" i="6" s="1"/>
  <c r="DQ242" i="1"/>
  <c r="DP242" i="1"/>
  <c r="AL83" i="6"/>
  <c r="AL82" i="6"/>
  <c r="DD242" i="1"/>
  <c r="DE242" i="1"/>
  <c r="BL241" i="1"/>
  <c r="CO181" i="1"/>
  <c r="AY180" i="1"/>
  <c r="BK180" i="1" s="1"/>
  <c r="BK116" i="1"/>
  <c r="AY117" i="1"/>
  <c r="BK47" i="1"/>
  <c r="EA115" i="1"/>
  <c r="CZ293" i="1"/>
  <c r="BN180" i="1"/>
  <c r="BV180" i="1" s="1"/>
  <c r="BV116" i="1"/>
  <c r="BN117" i="1"/>
  <c r="BV47" i="1"/>
  <c r="BW241" i="1"/>
  <c r="CZ241" i="1"/>
  <c r="CZ47" i="1"/>
  <c r="DA241" i="1"/>
  <c r="CO117" i="1"/>
  <c r="CO47" i="1"/>
  <c r="AV47" i="1"/>
  <c r="U117" i="1"/>
  <c r="AV117" i="1"/>
  <c r="AM11" i="6"/>
  <c r="AM12" i="6"/>
  <c r="AM13" i="6"/>
  <c r="AM14" i="6"/>
  <c r="AM19" i="6"/>
  <c r="AM20" i="6"/>
  <c r="AM21" i="6"/>
  <c r="AM22" i="6"/>
  <c r="AM23" i="6"/>
  <c r="AM24" i="6"/>
  <c r="AM29" i="6"/>
  <c r="AM30" i="6"/>
  <c r="AM31" i="6"/>
  <c r="AM32" i="6"/>
  <c r="AM33" i="6"/>
  <c r="AM34" i="6"/>
  <c r="AM39" i="6"/>
  <c r="AM40" i="6"/>
  <c r="AM41" i="6"/>
  <c r="AM42" i="6"/>
  <c r="AM43" i="6"/>
  <c r="AM44" i="6"/>
  <c r="CZ117" i="1"/>
  <c r="AV181" i="1"/>
  <c r="U180" i="1"/>
  <c r="U116" i="1"/>
  <c r="AV180" i="1"/>
  <c r="AV116" i="1"/>
  <c r="CR242" i="1"/>
  <c r="CV242" i="1"/>
  <c r="U293" i="1"/>
  <c r="CR294" i="1"/>
  <c r="CT242" i="1"/>
  <c r="CS242" i="1"/>
  <c r="CX242" i="1"/>
  <c r="CW242" i="1"/>
  <c r="AO242" i="1"/>
  <c r="AK242" i="1"/>
  <c r="AS242" i="1"/>
  <c r="AG242" i="1"/>
  <c r="N242" i="1"/>
  <c r="AC242" i="1"/>
  <c r="Y242" i="1"/>
  <c r="R242" i="1"/>
  <c r="CV294" i="1"/>
  <c r="CH242" i="1"/>
  <c r="CD242" i="1"/>
  <c r="BS242" i="1"/>
  <c r="BZ242" i="1"/>
  <c r="CL242" i="1"/>
  <c r="BO242" i="1"/>
  <c r="AM66" i="6"/>
  <c r="AM114" i="6"/>
  <c r="AM171" i="6"/>
  <c r="AM129" i="6"/>
  <c r="CA242" i="1"/>
  <c r="V241" i="1"/>
  <c r="AV241" i="1"/>
  <c r="AR294" i="1"/>
  <c r="AV294" i="1" s="1"/>
  <c r="AJ242" i="1"/>
  <c r="AJ295" i="1" s="1"/>
  <c r="BE242" i="1"/>
  <c r="AP242" i="1"/>
  <c r="Z242" i="1"/>
  <c r="BT242" i="1"/>
  <c r="BI242" i="1"/>
  <c r="BA242" i="1"/>
  <c r="AT242" i="1"/>
  <c r="AD242" i="1"/>
  <c r="O242" i="1"/>
  <c r="AH242" i="1"/>
  <c r="BP242" i="1"/>
  <c r="AL242" i="1"/>
  <c r="S242" i="1"/>
  <c r="BD242" i="1"/>
  <c r="BH242" i="1"/>
  <c r="AZ242" i="1"/>
  <c r="AN295" i="1"/>
  <c r="AF242" i="1"/>
  <c r="AF295" i="1" s="1"/>
  <c r="DZ242" i="1"/>
  <c r="M242" i="1"/>
  <c r="M295" i="1" s="1"/>
  <c r="AW241" i="1"/>
  <c r="X242" i="1"/>
  <c r="X295" i="1" s="1"/>
  <c r="AR242" i="1"/>
  <c r="Q242" i="1"/>
  <c r="Q295" i="1" s="1"/>
  <c r="AB242" i="1"/>
  <c r="AB295" i="1" s="1"/>
  <c r="U241" i="1"/>
  <c r="U47" i="1"/>
  <c r="DW116" i="1" l="1"/>
  <c r="DW180" i="1"/>
  <c r="EA180" i="1" s="1"/>
  <c r="AM38" i="6"/>
  <c r="AM37" i="6"/>
  <c r="AM27" i="6"/>
  <c r="AM46" i="6"/>
  <c r="AM36" i="6"/>
  <c r="AM26" i="6"/>
  <c r="AM16" i="6"/>
  <c r="AM56" i="6"/>
  <c r="AM45" i="6"/>
  <c r="AM35" i="6"/>
  <c r="AM25" i="6"/>
  <c r="AM15" i="6"/>
  <c r="DW47" i="1"/>
  <c r="EA47" i="1" s="1"/>
  <c r="EE47" i="1" s="1"/>
  <c r="AM28" i="6"/>
  <c r="AM83" i="6"/>
  <c r="AM82" i="6"/>
  <c r="AM17" i="6"/>
  <c r="EA116" i="1"/>
  <c r="BL242" i="1"/>
  <c r="AY181" i="1"/>
  <c r="BK181" i="1" s="1"/>
  <c r="BK117" i="1"/>
  <c r="CZ294" i="1"/>
  <c r="BN181" i="1"/>
  <c r="BV181" i="1" s="1"/>
  <c r="BV117" i="1"/>
  <c r="BW242" i="1"/>
  <c r="DA242" i="1"/>
  <c r="CZ242" i="1"/>
  <c r="U181" i="1"/>
  <c r="C43" i="9"/>
  <c r="L43" i="9"/>
  <c r="L44" i="9"/>
  <c r="C44" i="9"/>
  <c r="U294" i="1"/>
  <c r="CV295" i="1"/>
  <c r="CR295" i="1"/>
  <c r="AV242" i="1"/>
  <c r="AR295" i="1"/>
  <c r="AV295" i="1" s="1"/>
  <c r="V242" i="1"/>
  <c r="AW242" i="1"/>
  <c r="U242" i="1"/>
  <c r="H47" i="12"/>
  <c r="DW181" i="1" l="1"/>
  <c r="EA181" i="1" s="1"/>
  <c r="DW117" i="1"/>
  <c r="EA117" i="1" s="1"/>
  <c r="AN82" i="6"/>
  <c r="AQ82" i="6" s="1"/>
  <c r="AN83" i="6"/>
  <c r="AQ83" i="6" s="1"/>
  <c r="CZ295" i="1"/>
  <c r="U295" i="1"/>
  <c r="H48" i="12"/>
  <c r="AW227" i="1" l="1"/>
  <c r="V212" i="1" l="1"/>
  <c r="H45" i="12"/>
  <c r="H46" i="12"/>
  <c r="H44" i="12"/>
  <c r="H34" i="12"/>
  <c r="H22" i="12"/>
  <c r="H38" i="12"/>
  <c r="H27" i="12"/>
  <c r="H25" i="12"/>
  <c r="H29" i="12"/>
  <c r="H24" i="12"/>
  <c r="H39" i="12"/>
  <c r="H42" i="12"/>
  <c r="H40" i="12"/>
  <c r="H41" i="12"/>
  <c r="H43" i="12"/>
  <c r="H31" i="12"/>
  <c r="H30" i="12"/>
  <c r="H35" i="12"/>
  <c r="H26" i="12"/>
  <c r="H28" i="12"/>
  <c r="H32" i="12"/>
  <c r="H23" i="12"/>
  <c r="H33" i="12"/>
  <c r="BT240" i="1" l="1"/>
  <c r="BW240" i="1" s="1"/>
  <c r="BP214" i="1"/>
  <c r="BP213" i="1"/>
  <c r="BP212" i="1"/>
  <c r="BP211" i="1"/>
  <c r="BP210" i="1"/>
  <c r="BP215" i="1"/>
  <c r="BP209" i="1"/>
  <c r="X69" i="6" l="1"/>
  <c r="U70" i="6"/>
  <c r="AH70" i="6"/>
  <c r="AC70" i="6"/>
  <c r="J70" i="6"/>
  <c r="AB71" i="6"/>
  <c r="U71" i="6"/>
  <c r="AK68" i="6"/>
  <c r="Z71" i="6"/>
  <c r="T71" i="6"/>
  <c r="AK71" i="6"/>
  <c r="Q69" i="6"/>
  <c r="V69" i="6"/>
  <c r="AK75" i="6"/>
  <c r="AH71" i="6"/>
  <c r="AL73" i="6"/>
  <c r="W71" i="6"/>
  <c r="V70" i="6"/>
  <c r="AE71" i="6"/>
  <c r="R69" i="6"/>
  <c r="T69" i="6"/>
  <c r="AM81" i="6"/>
  <c r="AL79" i="6"/>
  <c r="AM78" i="6"/>
  <c r="Y71" i="6"/>
  <c r="X71" i="6"/>
  <c r="AA70" i="6"/>
  <c r="Y69" i="6"/>
  <c r="AK73" i="6"/>
  <c r="AE70" i="6"/>
  <c r="R70" i="6"/>
  <c r="U69" i="6"/>
  <c r="W69" i="6"/>
  <c r="AG69" i="6"/>
  <c r="Z70" i="6"/>
  <c r="N69" i="6"/>
  <c r="K70" i="6"/>
  <c r="N73" i="6"/>
  <c r="DO49" i="1" l="1"/>
  <c r="C70" i="6"/>
  <c r="AK70" i="6"/>
  <c r="AJ70" i="6"/>
  <c r="AG70" i="6"/>
  <c r="AI71" i="6"/>
  <c r="V71" i="6"/>
  <c r="AG71" i="6"/>
  <c r="Y70" i="6"/>
  <c r="Z69" i="6"/>
  <c r="N70" i="6"/>
  <c r="S71" i="6"/>
  <c r="AL71" i="6"/>
  <c r="I69" i="6"/>
  <c r="AB70" i="6"/>
  <c r="P70" i="6"/>
  <c r="I68" i="6"/>
  <c r="T70" i="6"/>
  <c r="AI69" i="6"/>
  <c r="AF71" i="6"/>
  <c r="AC71" i="6"/>
  <c r="P69" i="6"/>
  <c r="AD71" i="6"/>
  <c r="AK69" i="6"/>
  <c r="Q70" i="6"/>
  <c r="O69" i="6"/>
  <c r="O70" i="6"/>
  <c r="M69" i="6"/>
  <c r="AL69" i="6"/>
  <c r="AL70" i="6"/>
  <c r="AE69" i="6"/>
  <c r="AK74" i="6"/>
  <c r="AD69" i="6"/>
  <c r="S69" i="6"/>
  <c r="AI70" i="6"/>
  <c r="AL68" i="6"/>
  <c r="M70" i="6"/>
  <c r="K69" i="6"/>
  <c r="AF70" i="6"/>
  <c r="AF69" i="6"/>
  <c r="W70" i="6"/>
  <c r="AC69" i="6"/>
  <c r="AA69" i="6"/>
  <c r="S70" i="6"/>
  <c r="AJ69" i="6"/>
  <c r="L70" i="6"/>
  <c r="X70" i="6"/>
  <c r="AD70" i="6"/>
  <c r="AB69" i="6"/>
  <c r="AJ71" i="6"/>
  <c r="AA71" i="6"/>
  <c r="AD268" i="1"/>
  <c r="BN11" i="1"/>
  <c r="O145" i="1"/>
  <c r="L77" i="6"/>
  <c r="AL77" i="6"/>
  <c r="M73" i="6"/>
  <c r="G70" i="6"/>
  <c r="AM77" i="6"/>
  <c r="AM74" i="6"/>
  <c r="AM70" i="6"/>
  <c r="AM75" i="6"/>
  <c r="CE20" i="1"/>
  <c r="CE21" i="1"/>
  <c r="CE22" i="1"/>
  <c r="CE23" i="1"/>
  <c r="CE26" i="1"/>
  <c r="CE25" i="1"/>
  <c r="CE24" i="1"/>
  <c r="CE30" i="1"/>
  <c r="CE29" i="1"/>
  <c r="CE27" i="1"/>
  <c r="CE31" i="1"/>
  <c r="CE28" i="1"/>
  <c r="CE32" i="1"/>
  <c r="CE33" i="1"/>
  <c r="CE35" i="1"/>
  <c r="CE34" i="1"/>
  <c r="CE36" i="1"/>
  <c r="CE37" i="1"/>
  <c r="CE38" i="1"/>
  <c r="CE39" i="1"/>
  <c r="CE40" i="1"/>
  <c r="CE41" i="1"/>
  <c r="CE42" i="1"/>
  <c r="CE43" i="1"/>
  <c r="CE44" i="1"/>
  <c r="CE45" i="1"/>
  <c r="CE47" i="1"/>
  <c r="CE46" i="1"/>
  <c r="AM69" i="6"/>
  <c r="AJ73" i="6"/>
  <c r="F70" i="6"/>
  <c r="H70" i="6"/>
  <c r="I70" i="6"/>
  <c r="AA73" i="6"/>
  <c r="E70" i="6"/>
  <c r="U73" i="6"/>
  <c r="AE73" i="6"/>
  <c r="D70" i="6"/>
  <c r="G68" i="6"/>
  <c r="H68" i="6"/>
  <c r="O73" i="6"/>
  <c r="AF73" i="6"/>
  <c r="T73" i="6"/>
  <c r="Q73" i="6"/>
  <c r="AB73" i="6"/>
  <c r="AG73" i="6"/>
  <c r="W73" i="6"/>
  <c r="AH73" i="6"/>
  <c r="Y73" i="6"/>
  <c r="R73" i="6"/>
  <c r="X73" i="6"/>
  <c r="AI73" i="6"/>
  <c r="Z73" i="6"/>
  <c r="E69" i="6"/>
  <c r="M71" i="6"/>
  <c r="P71" i="6"/>
  <c r="R71" i="6"/>
  <c r="O71" i="6"/>
  <c r="Q71" i="6"/>
  <c r="N71" i="6"/>
  <c r="S73" i="6"/>
  <c r="H69" i="6"/>
  <c r="DK49" i="1" l="1"/>
  <c r="DO241" i="1"/>
  <c r="DO213" i="1"/>
  <c r="DO221" i="1"/>
  <c r="DO224" i="1"/>
  <c r="DO236" i="1"/>
  <c r="DO223" i="1"/>
  <c r="DO226" i="1"/>
  <c r="DO227" i="1"/>
  <c r="DO219" i="1"/>
  <c r="DO215" i="1"/>
  <c r="DO231" i="1"/>
  <c r="DO234" i="1"/>
  <c r="DO230" i="1"/>
  <c r="DO211" i="1"/>
  <c r="DO222" i="1"/>
  <c r="DO209" i="1"/>
  <c r="DO216" i="1"/>
  <c r="DO217" i="1"/>
  <c r="DO242" i="1"/>
  <c r="DO238" i="1"/>
  <c r="DO214" i="1"/>
  <c r="DO228" i="1"/>
  <c r="DO240" i="1"/>
  <c r="DO237" i="1"/>
  <c r="DO206" i="1"/>
  <c r="DO218" i="1"/>
  <c r="DO220" i="1"/>
  <c r="DO239" i="1"/>
  <c r="DO235" i="1"/>
  <c r="DO208" i="1"/>
  <c r="DO210" i="1"/>
  <c r="DO225" i="1"/>
  <c r="DO229" i="1"/>
  <c r="DO212" i="1"/>
  <c r="DO233" i="1"/>
  <c r="DO207" i="1"/>
  <c r="DO232" i="1"/>
  <c r="BN81" i="1"/>
  <c r="BV11" i="1"/>
  <c r="DW11" i="1" s="1"/>
  <c r="Z145" i="1"/>
  <c r="Z11" i="1"/>
  <c r="CO183" i="1"/>
  <c r="CA145" i="1"/>
  <c r="BY183" i="1"/>
  <c r="S145" i="1"/>
  <c r="V145" i="1" s="1"/>
  <c r="BG119" i="1"/>
  <c r="BI81" i="1"/>
  <c r="BI90" i="1"/>
  <c r="CE145" i="1"/>
  <c r="CC183" i="1"/>
  <c r="AH145" i="1"/>
  <c r="AH155" i="1"/>
  <c r="AH154" i="1"/>
  <c r="AH158" i="1"/>
  <c r="AH156" i="1"/>
  <c r="AH157" i="1"/>
  <c r="AH159" i="1"/>
  <c r="CZ183" i="1"/>
  <c r="CR183" i="1"/>
  <c r="CT145" i="1"/>
  <c r="DA145" i="1" s="1"/>
  <c r="O89" i="6"/>
  <c r="AI90" i="6"/>
  <c r="AH92" i="6"/>
  <c r="AL90" i="6"/>
  <c r="L89" i="6"/>
  <c r="V91" i="6"/>
  <c r="AF91" i="6"/>
  <c r="AB89" i="6"/>
  <c r="AD90" i="6"/>
  <c r="AL91" i="6"/>
  <c r="Y90" i="6"/>
  <c r="AG90" i="6"/>
  <c r="X90" i="6"/>
  <c r="J91" i="6"/>
  <c r="AC92" i="6"/>
  <c r="L91" i="6"/>
  <c r="O90" i="6"/>
  <c r="U90" i="6"/>
  <c r="AJ90" i="6"/>
  <c r="AH89" i="6"/>
  <c r="N91" i="6"/>
  <c r="K91" i="6"/>
  <c r="V92" i="6"/>
  <c r="AC90" i="6"/>
  <c r="J89" i="6"/>
  <c r="AC91" i="6"/>
  <c r="AE89" i="6"/>
  <c r="AI89" i="6"/>
  <c r="T91" i="6"/>
  <c r="U91" i="6"/>
  <c r="T89" i="6"/>
  <c r="P90" i="6"/>
  <c r="AI91" i="6"/>
  <c r="P91" i="6"/>
  <c r="AG91" i="6"/>
  <c r="Q91" i="6"/>
  <c r="Y91" i="6"/>
  <c r="S91" i="6"/>
  <c r="V90" i="6"/>
  <c r="I90" i="6"/>
  <c r="AK92" i="6"/>
  <c r="AK90" i="6"/>
  <c r="R91" i="6"/>
  <c r="Z92" i="6"/>
  <c r="AB90" i="6"/>
  <c r="AE91" i="6"/>
  <c r="AK91" i="6"/>
  <c r="T90" i="6"/>
  <c r="T92" i="6"/>
  <c r="AD91" i="6"/>
  <c r="AH90" i="6"/>
  <c r="W91" i="6"/>
  <c r="AJ92" i="6"/>
  <c r="K90" i="6"/>
  <c r="AL89" i="6"/>
  <c r="S89" i="6"/>
  <c r="R89" i="6"/>
  <c r="K89" i="6"/>
  <c r="S90" i="6"/>
  <c r="W90" i="6"/>
  <c r="AA91" i="6"/>
  <c r="AE90" i="6"/>
  <c r="N90" i="6"/>
  <c r="Z89" i="6"/>
  <c r="U89" i="6"/>
  <c r="O91" i="6"/>
  <c r="X91" i="6"/>
  <c r="Z91" i="6"/>
  <c r="AG92" i="6"/>
  <c r="X89" i="6"/>
  <c r="AD92" i="6"/>
  <c r="S92" i="6"/>
  <c r="AA89" i="6"/>
  <c r="AI92" i="6"/>
  <c r="Z90" i="6"/>
  <c r="U92" i="6"/>
  <c r="M89" i="6"/>
  <c r="AJ91" i="6"/>
  <c r="Y89" i="6"/>
  <c r="Y92" i="6"/>
  <c r="I89" i="6"/>
  <c r="AA90" i="6"/>
  <c r="M91" i="6"/>
  <c r="P89" i="6"/>
  <c r="AD89" i="6"/>
  <c r="Q89" i="6"/>
  <c r="AB92" i="6"/>
  <c r="W89" i="6"/>
  <c r="AC89" i="6"/>
  <c r="X92" i="6"/>
  <c r="AG89" i="6"/>
  <c r="L90" i="6"/>
  <c r="M90" i="6"/>
  <c r="R90" i="6"/>
  <c r="AA92" i="6"/>
  <c r="V89" i="6"/>
  <c r="AF92" i="6"/>
  <c r="AF90" i="6"/>
  <c r="J90" i="6"/>
  <c r="AJ89" i="6"/>
  <c r="W92" i="6"/>
  <c r="AE92" i="6"/>
  <c r="AK89" i="6"/>
  <c r="AH91" i="6"/>
  <c r="Q90" i="6"/>
  <c r="AB91" i="6"/>
  <c r="AL92" i="6"/>
  <c r="AF89" i="6"/>
  <c r="N89" i="6"/>
  <c r="CO49" i="1"/>
  <c r="CC49" i="1"/>
  <c r="CC220" i="1" s="1"/>
  <c r="BT11" i="1"/>
  <c r="BT46" i="1"/>
  <c r="BT44" i="1"/>
  <c r="BT45" i="1"/>
  <c r="BT47" i="1"/>
  <c r="CG49" i="1"/>
  <c r="CG207" i="1" s="1"/>
  <c r="CG260" i="1" s="1"/>
  <c r="CI47" i="1"/>
  <c r="CI46" i="1"/>
  <c r="H75" i="6"/>
  <c r="G75" i="6"/>
  <c r="K75" i="6"/>
  <c r="D75" i="6"/>
  <c r="L75" i="6"/>
  <c r="J75" i="6"/>
  <c r="I75" i="6"/>
  <c r="E75" i="6"/>
  <c r="M75" i="6"/>
  <c r="F75" i="6"/>
  <c r="N75" i="6"/>
  <c r="P75" i="6"/>
  <c r="C75" i="6"/>
  <c r="O75" i="6"/>
  <c r="U75" i="6"/>
  <c r="Q75" i="6"/>
  <c r="S75" i="6"/>
  <c r="R75" i="6"/>
  <c r="T75" i="6"/>
  <c r="X75" i="6"/>
  <c r="V75" i="6"/>
  <c r="W75" i="6"/>
  <c r="Y75" i="6"/>
  <c r="Z75" i="6"/>
  <c r="AA75" i="6"/>
  <c r="AB75" i="6"/>
  <c r="AC75" i="6"/>
  <c r="AD75" i="6"/>
  <c r="AE75" i="6"/>
  <c r="AG75" i="6"/>
  <c r="AF75" i="6"/>
  <c r="AH75" i="6"/>
  <c r="AI75" i="6"/>
  <c r="AL75" i="6"/>
  <c r="AJ75" i="6"/>
  <c r="D78" i="6"/>
  <c r="F78" i="6"/>
  <c r="E78" i="6"/>
  <c r="G78" i="6"/>
  <c r="H78" i="6"/>
  <c r="C78" i="6"/>
  <c r="J78" i="6"/>
  <c r="I78" i="6"/>
  <c r="K78" i="6"/>
  <c r="M78" i="6"/>
  <c r="CT22" i="1"/>
  <c r="L78" i="6"/>
  <c r="O78" i="6"/>
  <c r="N78" i="6"/>
  <c r="Q78" i="6"/>
  <c r="CT23" i="1"/>
  <c r="CT25" i="1"/>
  <c r="CT26" i="1"/>
  <c r="CT24" i="1"/>
  <c r="CT27" i="1"/>
  <c r="CT28" i="1"/>
  <c r="P78" i="6"/>
  <c r="CT29" i="1"/>
  <c r="R78" i="6"/>
  <c r="V78" i="6"/>
  <c r="S78" i="6"/>
  <c r="T78" i="6"/>
  <c r="CT30" i="1"/>
  <c r="CT32" i="1"/>
  <c r="U78" i="6"/>
  <c r="CT33" i="1"/>
  <c r="CT31" i="1"/>
  <c r="W78" i="6"/>
  <c r="CT36" i="1"/>
  <c r="CT35" i="1"/>
  <c r="Y78" i="6"/>
  <c r="Z78" i="6"/>
  <c r="CT34" i="1"/>
  <c r="X78" i="6"/>
  <c r="AA78" i="6"/>
  <c r="CT40" i="1"/>
  <c r="CT39" i="1"/>
  <c r="AE78" i="6"/>
  <c r="CT37" i="1"/>
  <c r="AB78" i="6"/>
  <c r="AC78" i="6"/>
  <c r="CT38" i="1"/>
  <c r="CT42" i="1"/>
  <c r="AF78" i="6"/>
  <c r="AG78" i="6"/>
  <c r="AD78" i="6"/>
  <c r="AH78" i="6"/>
  <c r="CT41" i="1"/>
  <c r="AI78" i="6"/>
  <c r="CT46" i="1"/>
  <c r="CT47" i="1"/>
  <c r="CT43" i="1"/>
  <c r="AJ78" i="6"/>
  <c r="AL78" i="6"/>
  <c r="CT44" i="1"/>
  <c r="CT45" i="1"/>
  <c r="AK78" i="6"/>
  <c r="BI39" i="1"/>
  <c r="BI37" i="1"/>
  <c r="BI38" i="1"/>
  <c r="BI41" i="1"/>
  <c r="BI40" i="1"/>
  <c r="BI43" i="1"/>
  <c r="BI42" i="1"/>
  <c r="BI44" i="1"/>
  <c r="BI45" i="1"/>
  <c r="BI46" i="1"/>
  <c r="BI47" i="1"/>
  <c r="AH87" i="1"/>
  <c r="AH26" i="1"/>
  <c r="AH29" i="1"/>
  <c r="AH27" i="1"/>
  <c r="AH30" i="1"/>
  <c r="AH31" i="1"/>
  <c r="AH32" i="1"/>
  <c r="AH28" i="1"/>
  <c r="AH34" i="1"/>
  <c r="AH33" i="1"/>
  <c r="AH35" i="1"/>
  <c r="AH36" i="1"/>
  <c r="AH37" i="1"/>
  <c r="AH39" i="1"/>
  <c r="AH38" i="1"/>
  <c r="AH40" i="1"/>
  <c r="AH41" i="1"/>
  <c r="AH42" i="1"/>
  <c r="AH43" i="1"/>
  <c r="AH45" i="1"/>
  <c r="AH44" i="1"/>
  <c r="AH46" i="1"/>
  <c r="AH47" i="1"/>
  <c r="CM46" i="1"/>
  <c r="CM47" i="1"/>
  <c r="S16" i="1"/>
  <c r="S17" i="1"/>
  <c r="S20" i="1"/>
  <c r="S19" i="1"/>
  <c r="S18" i="1"/>
  <c r="S21" i="1"/>
  <c r="S23" i="1"/>
  <c r="S22" i="1"/>
  <c r="S25" i="1"/>
  <c r="S24" i="1"/>
  <c r="S26" i="1"/>
  <c r="S30" i="1"/>
  <c r="S29" i="1"/>
  <c r="S28" i="1"/>
  <c r="S27" i="1"/>
  <c r="S34" i="1"/>
  <c r="S33" i="1"/>
  <c r="S31" i="1"/>
  <c r="S32" i="1"/>
  <c r="S35" i="1"/>
  <c r="S36" i="1"/>
  <c r="S37" i="1"/>
  <c r="S40" i="1"/>
  <c r="S38" i="1"/>
  <c r="S39" i="1"/>
  <c r="S41" i="1"/>
  <c r="S43" i="1"/>
  <c r="S42" i="1"/>
  <c r="S45" i="1"/>
  <c r="S47" i="1"/>
  <c r="S44" i="1"/>
  <c r="S46" i="1"/>
  <c r="BA26" i="1"/>
  <c r="BA22" i="1"/>
  <c r="BA23" i="1"/>
  <c r="BA24" i="1"/>
  <c r="BA25" i="1"/>
  <c r="BA29" i="1"/>
  <c r="BA27" i="1"/>
  <c r="BA30" i="1"/>
  <c r="BA28" i="1"/>
  <c r="BA31" i="1"/>
  <c r="BA32" i="1"/>
  <c r="BA33" i="1"/>
  <c r="BA34" i="1"/>
  <c r="BA35" i="1"/>
  <c r="BA36" i="1"/>
  <c r="BA38" i="1"/>
  <c r="BA40" i="1"/>
  <c r="BA37" i="1"/>
  <c r="BA39" i="1"/>
  <c r="BA43" i="1"/>
  <c r="BA42" i="1"/>
  <c r="BA41" i="1"/>
  <c r="BA44" i="1"/>
  <c r="BA45" i="1"/>
  <c r="BA46" i="1"/>
  <c r="BA47" i="1"/>
  <c r="O85" i="1"/>
  <c r="O16" i="1"/>
  <c r="O19" i="1"/>
  <c r="O17" i="1"/>
  <c r="O20" i="1"/>
  <c r="O18" i="1"/>
  <c r="O21" i="1"/>
  <c r="O22" i="1"/>
  <c r="O25" i="1"/>
  <c r="O23" i="1"/>
  <c r="O24" i="1"/>
  <c r="O26" i="1"/>
  <c r="O29" i="1"/>
  <c r="O28" i="1"/>
  <c r="O30" i="1"/>
  <c r="O27" i="1"/>
  <c r="O31" i="1"/>
  <c r="O32" i="1"/>
  <c r="O35" i="1"/>
  <c r="O33" i="1"/>
  <c r="O34" i="1"/>
  <c r="O37" i="1"/>
  <c r="O39" i="1"/>
  <c r="O40" i="1"/>
  <c r="O36" i="1"/>
  <c r="O38" i="1"/>
  <c r="O41" i="1"/>
  <c r="O42" i="1"/>
  <c r="O44" i="1"/>
  <c r="O43" i="1"/>
  <c r="O47" i="1"/>
  <c r="O45" i="1"/>
  <c r="O46" i="1"/>
  <c r="BP13" i="1"/>
  <c r="BP14" i="1"/>
  <c r="BP15" i="1"/>
  <c r="BP16" i="1"/>
  <c r="BP18" i="1"/>
  <c r="BP17" i="1"/>
  <c r="BP19" i="1"/>
  <c r="BP20" i="1"/>
  <c r="BP21" i="1"/>
  <c r="BP22" i="1"/>
  <c r="BP28" i="1"/>
  <c r="BP23" i="1"/>
  <c r="BP24" i="1"/>
  <c r="BP27" i="1"/>
  <c r="BP26" i="1"/>
  <c r="BP25" i="1"/>
  <c r="BP29" i="1"/>
  <c r="BP31" i="1"/>
  <c r="BP30" i="1"/>
  <c r="BP33" i="1"/>
  <c r="BP35" i="1"/>
  <c r="BP32" i="1"/>
  <c r="BP37" i="1"/>
  <c r="BP34" i="1"/>
  <c r="BP36" i="1"/>
  <c r="BP40" i="1"/>
  <c r="BP39" i="1"/>
  <c r="BP38" i="1"/>
  <c r="BP41" i="1"/>
  <c r="BP44" i="1"/>
  <c r="BP43" i="1"/>
  <c r="BP42" i="1"/>
  <c r="BP47" i="1"/>
  <c r="BP45" i="1"/>
  <c r="BP46" i="1"/>
  <c r="AP18" i="1"/>
  <c r="AP19" i="1"/>
  <c r="AP20" i="1"/>
  <c r="AP21" i="1"/>
  <c r="AP23" i="1"/>
  <c r="AP22" i="1"/>
  <c r="AP25" i="1"/>
  <c r="AP27" i="1"/>
  <c r="AP26" i="1"/>
  <c r="AP24" i="1"/>
  <c r="AP30" i="1"/>
  <c r="AP28" i="1"/>
  <c r="AP32" i="1"/>
  <c r="AP29" i="1"/>
  <c r="AP31" i="1"/>
  <c r="AP39" i="1"/>
  <c r="AP33" i="1"/>
  <c r="AP35" i="1"/>
  <c r="AP36" i="1"/>
  <c r="AP34" i="1"/>
  <c r="AP37" i="1"/>
  <c r="AP41" i="1"/>
  <c r="AP38" i="1"/>
  <c r="AP40" i="1"/>
  <c r="AP44" i="1"/>
  <c r="AP43" i="1"/>
  <c r="AP45" i="1"/>
  <c r="AP42" i="1"/>
  <c r="AP46" i="1"/>
  <c r="AP47" i="1"/>
  <c r="AD22" i="1"/>
  <c r="AD21" i="1"/>
  <c r="AD23" i="1"/>
  <c r="AD24" i="1"/>
  <c r="AD27" i="1"/>
  <c r="AD25" i="1"/>
  <c r="AD26" i="1"/>
  <c r="AD28" i="1"/>
  <c r="AD29" i="1"/>
  <c r="AD30" i="1"/>
  <c r="AD31" i="1"/>
  <c r="AD32" i="1"/>
  <c r="AD33" i="1"/>
  <c r="AD34" i="1"/>
  <c r="AD35" i="1"/>
  <c r="AD36" i="1"/>
  <c r="AD37" i="1"/>
  <c r="AD39" i="1"/>
  <c r="AD38" i="1"/>
  <c r="AD41" i="1"/>
  <c r="AD40" i="1"/>
  <c r="AD43" i="1"/>
  <c r="AD42" i="1"/>
  <c r="AD45" i="1"/>
  <c r="AD44" i="1"/>
  <c r="AD46" i="1"/>
  <c r="AD47" i="1"/>
  <c r="C80" i="6"/>
  <c r="D80" i="6"/>
  <c r="F80" i="6"/>
  <c r="E80" i="6"/>
  <c r="H80" i="6"/>
  <c r="G80" i="6"/>
  <c r="O80" i="6"/>
  <c r="R80" i="6"/>
  <c r="Q80" i="6"/>
  <c r="S80" i="6"/>
  <c r="T80" i="6"/>
  <c r="V80" i="6"/>
  <c r="U80" i="6"/>
  <c r="W80" i="6"/>
  <c r="AE80" i="6"/>
  <c r="AG80" i="6"/>
  <c r="AH80" i="6"/>
  <c r="AJ80" i="6"/>
  <c r="AK80" i="6"/>
  <c r="AL80" i="6"/>
  <c r="AM80" i="6"/>
  <c r="Z17" i="1"/>
  <c r="Z21" i="1"/>
  <c r="Z19" i="1"/>
  <c r="Z18" i="1"/>
  <c r="Z22" i="1"/>
  <c r="Z20" i="1"/>
  <c r="Z24" i="1"/>
  <c r="Z25" i="1"/>
  <c r="Z23" i="1"/>
  <c r="Z26" i="1"/>
  <c r="Z27" i="1"/>
  <c r="Z29" i="1"/>
  <c r="Z30" i="1"/>
  <c r="Z28" i="1"/>
  <c r="Z31" i="1"/>
  <c r="Z34" i="1"/>
  <c r="Z36" i="1"/>
  <c r="Z32" i="1"/>
  <c r="Z33" i="1"/>
  <c r="Z35" i="1"/>
  <c r="Z37" i="1"/>
  <c r="Z41" i="1"/>
  <c r="Z38" i="1"/>
  <c r="Z40" i="1"/>
  <c r="Z39" i="1"/>
  <c r="Z43" i="1"/>
  <c r="Z44" i="1"/>
  <c r="Z42" i="1"/>
  <c r="Z46" i="1"/>
  <c r="Z45" i="1"/>
  <c r="Z47" i="1"/>
  <c r="AT26" i="1"/>
  <c r="AT28" i="1"/>
  <c r="AT27" i="1"/>
  <c r="AT29" i="1"/>
  <c r="AT31" i="1"/>
  <c r="AT32" i="1"/>
  <c r="AT30" i="1"/>
  <c r="AT34" i="1"/>
  <c r="AT35" i="1"/>
  <c r="AT37" i="1"/>
  <c r="AT33" i="1"/>
  <c r="AT36" i="1"/>
  <c r="AT40" i="1"/>
  <c r="AT39" i="1"/>
  <c r="AT38" i="1"/>
  <c r="AT41" i="1"/>
  <c r="AT42" i="1"/>
  <c r="AT46" i="1"/>
  <c r="AT43" i="1"/>
  <c r="AT44" i="1"/>
  <c r="AT45" i="1"/>
  <c r="AT47" i="1"/>
  <c r="CA82" i="1"/>
  <c r="AL74" i="6"/>
  <c r="C84" i="6"/>
  <c r="D84" i="6"/>
  <c r="E84" i="6"/>
  <c r="F84" i="6"/>
  <c r="G84" i="6"/>
  <c r="I84" i="6"/>
  <c r="H84" i="6"/>
  <c r="J84" i="6"/>
  <c r="L84" i="6"/>
  <c r="K84" i="6"/>
  <c r="M84" i="6"/>
  <c r="N84" i="6"/>
  <c r="O84" i="6"/>
  <c r="P84" i="6"/>
  <c r="Q84" i="6"/>
  <c r="R84" i="6"/>
  <c r="T84" i="6"/>
  <c r="S84" i="6"/>
  <c r="U84" i="6"/>
  <c r="V84" i="6"/>
  <c r="W84" i="6"/>
  <c r="Y84" i="6"/>
  <c r="X84" i="6"/>
  <c r="Z84" i="6"/>
  <c r="AA84" i="6"/>
  <c r="AB84" i="6"/>
  <c r="AC84" i="6"/>
  <c r="AD84" i="6"/>
  <c r="AF84" i="6"/>
  <c r="AE84" i="6"/>
  <c r="AG84" i="6"/>
  <c r="AH84" i="6"/>
  <c r="AJ84" i="6"/>
  <c r="AI84" i="6"/>
  <c r="AL84" i="6"/>
  <c r="AK84" i="6"/>
  <c r="AM84" i="6"/>
  <c r="C81" i="6"/>
  <c r="E81" i="6"/>
  <c r="D81" i="6"/>
  <c r="F81" i="6"/>
  <c r="G81" i="6"/>
  <c r="H81" i="6"/>
  <c r="I81" i="6"/>
  <c r="J81" i="6"/>
  <c r="L81" i="6"/>
  <c r="K81" i="6"/>
  <c r="N81" i="6"/>
  <c r="M81" i="6"/>
  <c r="P81" i="6"/>
  <c r="O81" i="6"/>
  <c r="S81" i="6"/>
  <c r="Q81" i="6"/>
  <c r="R81" i="6"/>
  <c r="U81" i="6"/>
  <c r="T81" i="6"/>
  <c r="V81" i="6"/>
  <c r="W81" i="6"/>
  <c r="X81" i="6"/>
  <c r="Y81" i="6"/>
  <c r="Z81" i="6"/>
  <c r="AC81" i="6"/>
  <c r="AB81" i="6"/>
  <c r="AD81" i="6"/>
  <c r="AA81" i="6"/>
  <c r="AE81" i="6"/>
  <c r="AG81" i="6"/>
  <c r="AI81" i="6"/>
  <c r="AF81" i="6"/>
  <c r="AJ81" i="6"/>
  <c r="AH81" i="6"/>
  <c r="AK81" i="6"/>
  <c r="AL81" i="6"/>
  <c r="G79" i="6"/>
  <c r="F79" i="6"/>
  <c r="C79" i="6"/>
  <c r="E79" i="6"/>
  <c r="J79" i="6"/>
  <c r="H79" i="6"/>
  <c r="D79" i="6"/>
  <c r="I79" i="6"/>
  <c r="L79" i="6"/>
  <c r="K79" i="6"/>
  <c r="N79" i="6"/>
  <c r="M79" i="6"/>
  <c r="O79" i="6"/>
  <c r="Q79" i="6"/>
  <c r="S79" i="6"/>
  <c r="P79" i="6"/>
  <c r="R79" i="6"/>
  <c r="T79" i="6"/>
  <c r="U79" i="6"/>
  <c r="V79" i="6"/>
  <c r="Z79" i="6"/>
  <c r="W79" i="6"/>
  <c r="AA79" i="6"/>
  <c r="X79" i="6"/>
  <c r="Y79" i="6"/>
  <c r="AD79" i="6"/>
  <c r="CX41" i="1"/>
  <c r="AB79" i="6"/>
  <c r="AC79" i="6"/>
  <c r="CX42" i="1"/>
  <c r="AE79" i="6"/>
  <c r="AF79" i="6"/>
  <c r="CX43" i="1"/>
  <c r="CX44" i="1"/>
  <c r="CX46" i="1"/>
  <c r="CX47" i="1"/>
  <c r="CX45" i="1"/>
  <c r="AG79" i="6"/>
  <c r="AJ79" i="6"/>
  <c r="AH79" i="6"/>
  <c r="AI79" i="6"/>
  <c r="AK79" i="6"/>
  <c r="AM79" i="6"/>
  <c r="BE37" i="1"/>
  <c r="BE38" i="1"/>
  <c r="BE39" i="1"/>
  <c r="BE40" i="1"/>
  <c r="BE42" i="1"/>
  <c r="BE41" i="1"/>
  <c r="BE44" i="1"/>
  <c r="BE43" i="1"/>
  <c r="BE46" i="1"/>
  <c r="BE47" i="1"/>
  <c r="BE45" i="1"/>
  <c r="AL268" i="1"/>
  <c r="AL31" i="1"/>
  <c r="AL32" i="1"/>
  <c r="AL35" i="1"/>
  <c r="AL34" i="1"/>
  <c r="AL33" i="1"/>
  <c r="AL40" i="1"/>
  <c r="AL36" i="1"/>
  <c r="AL38" i="1"/>
  <c r="AL42" i="1"/>
  <c r="AL37" i="1"/>
  <c r="AL39" i="1"/>
  <c r="AL41" i="1"/>
  <c r="AL44" i="1"/>
  <c r="AL43" i="1"/>
  <c r="AL45" i="1"/>
  <c r="AL46" i="1"/>
  <c r="AL47" i="1"/>
  <c r="DS49" i="1"/>
  <c r="DG49" i="1"/>
  <c r="DC49" i="1"/>
  <c r="N80" i="6"/>
  <c r="AA80" i="6"/>
  <c r="AF80" i="6"/>
  <c r="J80" i="6"/>
  <c r="L80" i="6"/>
  <c r="I80" i="6"/>
  <c r="AI80" i="6"/>
  <c r="Z80" i="6"/>
  <c r="AB80" i="6"/>
  <c r="M80" i="6"/>
  <c r="Y80" i="6"/>
  <c r="P80" i="6"/>
  <c r="X80" i="6"/>
  <c r="AD80" i="6"/>
  <c r="K80" i="6"/>
  <c r="AC80" i="6"/>
  <c r="BN49" i="1"/>
  <c r="CE88" i="1"/>
  <c r="AN70" i="6"/>
  <c r="AQ70" i="6" s="1"/>
  <c r="AH81" i="1"/>
  <c r="AH82" i="1"/>
  <c r="AH91" i="1"/>
  <c r="AH93" i="1"/>
  <c r="AH94" i="1"/>
  <c r="AH95" i="1"/>
  <c r="AH92" i="1"/>
  <c r="CT12" i="1"/>
  <c r="CK49" i="1"/>
  <c r="CK223" i="1" s="1"/>
  <c r="S12" i="1"/>
  <c r="AH12" i="1"/>
  <c r="AD12" i="1"/>
  <c r="CT21" i="1"/>
  <c r="BA11" i="1"/>
  <c r="AD20" i="1"/>
  <c r="O11" i="1"/>
  <c r="BE20" i="1"/>
  <c r="AH268" i="1"/>
  <c r="AD215" i="1"/>
  <c r="AY49" i="1"/>
  <c r="Z13" i="1"/>
  <c r="BC49" i="1"/>
  <c r="S13" i="1"/>
  <c r="BY49" i="1"/>
  <c r="BY228" i="1" s="1"/>
  <c r="S15" i="1"/>
  <c r="S11" i="1"/>
  <c r="BG49" i="1"/>
  <c r="BG217" i="1" s="1"/>
  <c r="BG270" i="1" s="1"/>
  <c r="Z16" i="1"/>
  <c r="AL20" i="1"/>
  <c r="AH23" i="1"/>
  <c r="AH11" i="1"/>
  <c r="AH13" i="1"/>
  <c r="Z15" i="1"/>
  <c r="AD16" i="1"/>
  <c r="CT18" i="1"/>
  <c r="C101" i="6"/>
  <c r="S14" i="1"/>
  <c r="AH25" i="1"/>
  <c r="AH24" i="1"/>
  <c r="BR49" i="1"/>
  <c r="BR214" i="1" s="1"/>
  <c r="BR267" i="1" s="1"/>
  <c r="CT20" i="1"/>
  <c r="AD19" i="1"/>
  <c r="CT19" i="1"/>
  <c r="AD18" i="1"/>
  <c r="AH22" i="1"/>
  <c r="Z14" i="1"/>
  <c r="CT16" i="1"/>
  <c r="AD17" i="1"/>
  <c r="AH19" i="1"/>
  <c r="Z12" i="1"/>
  <c r="CT17" i="1"/>
  <c r="AD15" i="1"/>
  <c r="AH21" i="1"/>
  <c r="CT13" i="1"/>
  <c r="AD13" i="1"/>
  <c r="BA12" i="1"/>
  <c r="AH17" i="1"/>
  <c r="CT15" i="1"/>
  <c r="AD14" i="1"/>
  <c r="AH16" i="1"/>
  <c r="CT14" i="1"/>
  <c r="AH20" i="1"/>
  <c r="O15" i="1"/>
  <c r="CT11" i="1"/>
  <c r="AH15" i="1"/>
  <c r="O14" i="1"/>
  <c r="AL11" i="1"/>
  <c r="AH18" i="1"/>
  <c r="O13" i="1"/>
  <c r="AH14" i="1"/>
  <c r="O12" i="1"/>
  <c r="CI11" i="1"/>
  <c r="CI20" i="1"/>
  <c r="BA21" i="1"/>
  <c r="BA19" i="1"/>
  <c r="BA20" i="1"/>
  <c r="BA17" i="1"/>
  <c r="BA16" i="1"/>
  <c r="BA18" i="1"/>
  <c r="CX20" i="1"/>
  <c r="BA15" i="1"/>
  <c r="CX11" i="1"/>
  <c r="BA14" i="1"/>
  <c r="BP11" i="1"/>
  <c r="BP12" i="1"/>
  <c r="BT20" i="1"/>
  <c r="BA13" i="1"/>
  <c r="CM11" i="1"/>
  <c r="CM20" i="1"/>
  <c r="AD11" i="1"/>
  <c r="BI20" i="1"/>
  <c r="AC76" i="6"/>
  <c r="M76" i="6"/>
  <c r="AB76" i="6"/>
  <c r="L76" i="6"/>
  <c r="Z76" i="6"/>
  <c r="AA76" i="6"/>
  <c r="Y76" i="6"/>
  <c r="X76" i="6"/>
  <c r="AL76" i="6"/>
  <c r="T76" i="6"/>
  <c r="AM76" i="6"/>
  <c r="W76" i="6"/>
  <c r="AK76" i="6"/>
  <c r="S76" i="6"/>
  <c r="AJ76" i="6"/>
  <c r="U76" i="6"/>
  <c r="AI76" i="6"/>
  <c r="V76" i="6"/>
  <c r="AH76" i="6"/>
  <c r="P76" i="6"/>
  <c r="AG76" i="6"/>
  <c r="Q76" i="6"/>
  <c r="AF76" i="6"/>
  <c r="R76" i="6"/>
  <c r="AE76" i="6"/>
  <c r="O76" i="6"/>
  <c r="AD76" i="6"/>
  <c r="N76" i="6"/>
  <c r="P73" i="6"/>
  <c r="AD73" i="6"/>
  <c r="AC73" i="6"/>
  <c r="C68" i="6"/>
  <c r="E68" i="6"/>
  <c r="D68" i="6"/>
  <c r="F68" i="6"/>
  <c r="V73" i="6"/>
  <c r="G69" i="6"/>
  <c r="D69" i="6"/>
  <c r="C69" i="6"/>
  <c r="AM116" i="6"/>
  <c r="AL116" i="6" s="1"/>
  <c r="AK116" i="6" s="1"/>
  <c r="CI241" i="1"/>
  <c r="F69" i="6"/>
  <c r="CI242" i="1"/>
  <c r="AM71" i="6"/>
  <c r="AM68" i="6"/>
  <c r="AM92" i="6"/>
  <c r="AM73" i="6"/>
  <c r="AM91" i="6"/>
  <c r="AM89" i="6"/>
  <c r="AM72" i="6"/>
  <c r="AM90" i="6"/>
  <c r="AL279" i="1"/>
  <c r="AH221" i="1"/>
  <c r="AT221" i="1"/>
  <c r="R92" i="6" s="1"/>
  <c r="AL226" i="1"/>
  <c r="AW226" i="1" s="1"/>
  <c r="BI232" i="1"/>
  <c r="AD216" i="1"/>
  <c r="BT239" i="1"/>
  <c r="BW239" i="1" s="1"/>
  <c r="DQ215" i="1" l="1"/>
  <c r="DO278" i="1"/>
  <c r="V104" i="6"/>
  <c r="DO262" i="1"/>
  <c r="F104" i="6"/>
  <c r="DO280" i="1"/>
  <c r="X104" i="6"/>
  <c r="DO294" i="1"/>
  <c r="AL104" i="6"/>
  <c r="DO290" i="1"/>
  <c r="AH104" i="6"/>
  <c r="W104" i="6"/>
  <c r="DO279" i="1"/>
  <c r="DO263" i="1"/>
  <c r="G104" i="6"/>
  <c r="DO293" i="1"/>
  <c r="AK104" i="6"/>
  <c r="S104" i="6"/>
  <c r="DO275" i="1"/>
  <c r="DO276" i="1"/>
  <c r="T104" i="6"/>
  <c r="DK233" i="1"/>
  <c r="DK224" i="1"/>
  <c r="DK230" i="1"/>
  <c r="DK222" i="1"/>
  <c r="DK236" i="1"/>
  <c r="DK227" i="1"/>
  <c r="DK210" i="1"/>
  <c r="DK226" i="1"/>
  <c r="DK218" i="1"/>
  <c r="DK235" i="1"/>
  <c r="DK213" i="1"/>
  <c r="DK217" i="1"/>
  <c r="DK214" i="1"/>
  <c r="DK220" i="1"/>
  <c r="DK225" i="1"/>
  <c r="DK219" i="1"/>
  <c r="DK207" i="1"/>
  <c r="DK216" i="1"/>
  <c r="DK229" i="1"/>
  <c r="DK223" i="1"/>
  <c r="DK231" i="1"/>
  <c r="DK212" i="1"/>
  <c r="DK239" i="1"/>
  <c r="DK221" i="1"/>
  <c r="DK215" i="1"/>
  <c r="DK238" i="1"/>
  <c r="DK206" i="1"/>
  <c r="DK242" i="1"/>
  <c r="DK228" i="1"/>
  <c r="DK241" i="1"/>
  <c r="DK232" i="1"/>
  <c r="DK237" i="1"/>
  <c r="DK211" i="1"/>
  <c r="DK234" i="1"/>
  <c r="DK240" i="1"/>
  <c r="DK208" i="1"/>
  <c r="DK209" i="1"/>
  <c r="E104" i="6"/>
  <c r="DO261" i="1"/>
  <c r="DO281" i="1"/>
  <c r="Y104" i="6"/>
  <c r="DO264" i="1"/>
  <c r="H104" i="6"/>
  <c r="AG104" i="6"/>
  <c r="DO289" i="1"/>
  <c r="DO285" i="1"/>
  <c r="AC104" i="6"/>
  <c r="DO267" i="1"/>
  <c r="K104" i="6"/>
  <c r="AA104" i="6"/>
  <c r="DO283" i="1"/>
  <c r="U104" i="6"/>
  <c r="DO277" i="1"/>
  <c r="DO260" i="1"/>
  <c r="D104" i="6"/>
  <c r="DO288" i="1"/>
  <c r="AF104" i="6"/>
  <c r="AI104" i="6"/>
  <c r="DO291" i="1"/>
  <c r="R104" i="6"/>
  <c r="DO274" i="1"/>
  <c r="DO286" i="1"/>
  <c r="AD104" i="6"/>
  <c r="DO292" i="1"/>
  <c r="AJ104" i="6"/>
  <c r="AM104" i="6"/>
  <c r="DO295" i="1"/>
  <c r="AE104" i="6"/>
  <c r="DO287" i="1"/>
  <c r="DO265" i="1"/>
  <c r="I104" i="6"/>
  <c r="Q104" i="6"/>
  <c r="DO273" i="1"/>
  <c r="AB104" i="6"/>
  <c r="DO284" i="1"/>
  <c r="O104" i="6"/>
  <c r="DO271" i="1"/>
  <c r="DO270" i="1"/>
  <c r="N104" i="6"/>
  <c r="DO268" i="1"/>
  <c r="L104" i="6"/>
  <c r="DO266" i="1"/>
  <c r="J104" i="6"/>
  <c r="DO282" i="1"/>
  <c r="Z104" i="6"/>
  <c r="DO259" i="1"/>
  <c r="C104" i="6"/>
  <c r="DO244" i="1"/>
  <c r="DO269" i="1"/>
  <c r="M104" i="6"/>
  <c r="P104" i="6"/>
  <c r="DO272" i="1"/>
  <c r="DC206" i="1"/>
  <c r="DC207" i="1"/>
  <c r="AD81" i="1"/>
  <c r="EA11" i="1"/>
  <c r="BL20" i="1"/>
  <c r="BL39" i="1"/>
  <c r="BL37" i="1"/>
  <c r="BL40" i="1"/>
  <c r="BL47" i="1"/>
  <c r="BL38" i="1"/>
  <c r="BL46" i="1"/>
  <c r="V11" i="1"/>
  <c r="BL45" i="1"/>
  <c r="BL44" i="1"/>
  <c r="BV49" i="1"/>
  <c r="BL41" i="1"/>
  <c r="BL42" i="1"/>
  <c r="BA155" i="1"/>
  <c r="BL43" i="1"/>
  <c r="AY183" i="1"/>
  <c r="BK119" i="1"/>
  <c r="BN145" i="1"/>
  <c r="BV81" i="1"/>
  <c r="DW81" i="1" s="1"/>
  <c r="BN119" i="1"/>
  <c r="BW20" i="1"/>
  <c r="BW45" i="1"/>
  <c r="BG183" i="1"/>
  <c r="BI145" i="1"/>
  <c r="BI155" i="1"/>
  <c r="BI154" i="1"/>
  <c r="BI157" i="1"/>
  <c r="BI156" i="1"/>
  <c r="BI159" i="1"/>
  <c r="BI161" i="1"/>
  <c r="BI163" i="1"/>
  <c r="BI158" i="1"/>
  <c r="BI160" i="1"/>
  <c r="BI162" i="1"/>
  <c r="BI166" i="1"/>
  <c r="BI164" i="1"/>
  <c r="BI169" i="1"/>
  <c r="BI165" i="1"/>
  <c r="BI168" i="1"/>
  <c r="BI167" i="1"/>
  <c r="BI170" i="1"/>
  <c r="BW44" i="1"/>
  <c r="BE81" i="1"/>
  <c r="BE90" i="1"/>
  <c r="BW46" i="1"/>
  <c r="BW11" i="1"/>
  <c r="AD145" i="1"/>
  <c r="AD154" i="1"/>
  <c r="AT81" i="1"/>
  <c r="AT90" i="1"/>
  <c r="AT91" i="1"/>
  <c r="AT92" i="1"/>
  <c r="AT93" i="1"/>
  <c r="AT94" i="1"/>
  <c r="AT95" i="1"/>
  <c r="BW47" i="1"/>
  <c r="CM145" i="1"/>
  <c r="CP145" i="1" s="1"/>
  <c r="CK183" i="1"/>
  <c r="CM154" i="1"/>
  <c r="CP154" i="1" s="1"/>
  <c r="CM155" i="1"/>
  <c r="CP155" i="1" s="1"/>
  <c r="CM157" i="1"/>
  <c r="CP157" i="1" s="1"/>
  <c r="CM156" i="1"/>
  <c r="CP156" i="1" s="1"/>
  <c r="CM158" i="1"/>
  <c r="CP158" i="1" s="1"/>
  <c r="CM159" i="1"/>
  <c r="CP159" i="1" s="1"/>
  <c r="CM160" i="1"/>
  <c r="CP160" i="1" s="1"/>
  <c r="CM161" i="1"/>
  <c r="CP161" i="1" s="1"/>
  <c r="CM163" i="1"/>
  <c r="CP163" i="1" s="1"/>
  <c r="CM162" i="1"/>
  <c r="CP162" i="1" s="1"/>
  <c r="CM164" i="1"/>
  <c r="CP164" i="1" s="1"/>
  <c r="CM165" i="1"/>
  <c r="CP165" i="1" s="1"/>
  <c r="CM166" i="1"/>
  <c r="CP166" i="1" s="1"/>
  <c r="CM167" i="1"/>
  <c r="CP167" i="1" s="1"/>
  <c r="CM168" i="1"/>
  <c r="CP168" i="1" s="1"/>
  <c r="CM170" i="1"/>
  <c r="CP170" i="1" s="1"/>
  <c r="CM169" i="1"/>
  <c r="CP169" i="1" s="1"/>
  <c r="CM172" i="1"/>
  <c r="CP172" i="1" s="1"/>
  <c r="DX172" i="1" s="1"/>
  <c r="CM171" i="1"/>
  <c r="CP171" i="1" s="1"/>
  <c r="DX171" i="1" s="1"/>
  <c r="CM174" i="1"/>
  <c r="CP174" i="1" s="1"/>
  <c r="DX174" i="1" s="1"/>
  <c r="CM173" i="1"/>
  <c r="CP173" i="1" s="1"/>
  <c r="DX173" i="1" s="1"/>
  <c r="CM175" i="1"/>
  <c r="CP175" i="1" s="1"/>
  <c r="DX175" i="1" s="1"/>
  <c r="CM177" i="1"/>
  <c r="CP177" i="1" s="1"/>
  <c r="DX177" i="1" s="1"/>
  <c r="CM179" i="1"/>
  <c r="CP179" i="1" s="1"/>
  <c r="DX179" i="1" s="1"/>
  <c r="CM176" i="1"/>
  <c r="CP176" i="1" s="1"/>
  <c r="DX176" i="1" s="1"/>
  <c r="CM178" i="1"/>
  <c r="CP178" i="1" s="1"/>
  <c r="DX178" i="1" s="1"/>
  <c r="BA82" i="1"/>
  <c r="BP81" i="1"/>
  <c r="BP82" i="1"/>
  <c r="BW82" i="1" s="1"/>
  <c r="DA43" i="1"/>
  <c r="BC220" i="1"/>
  <c r="BC273" i="1" s="1"/>
  <c r="BA91" i="1"/>
  <c r="V17" i="1"/>
  <c r="AD82" i="1"/>
  <c r="V46" i="1"/>
  <c r="CG236" i="1"/>
  <c r="CG289" i="1" s="1"/>
  <c r="V34" i="1"/>
  <c r="DA42" i="1"/>
  <c r="CG224" i="1"/>
  <c r="CG277" i="1" s="1"/>
  <c r="AD85" i="1"/>
  <c r="CG225" i="1"/>
  <c r="CG278" i="1" s="1"/>
  <c r="CG230" i="1"/>
  <c r="CG283" i="1" s="1"/>
  <c r="BN224" i="1"/>
  <c r="BN277" i="1" s="1"/>
  <c r="CG217" i="1"/>
  <c r="CG270" i="1" s="1"/>
  <c r="CG227" i="1"/>
  <c r="CG280" i="1" s="1"/>
  <c r="AH90" i="1"/>
  <c r="CK220" i="1"/>
  <c r="Q98" i="6" s="1"/>
  <c r="CG231" i="1"/>
  <c r="CG284" i="1" s="1"/>
  <c r="CG208" i="1"/>
  <c r="CG261" i="1" s="1"/>
  <c r="AH83" i="1"/>
  <c r="AY229" i="1"/>
  <c r="AY222" i="1"/>
  <c r="AY230" i="1"/>
  <c r="AY283" i="1" s="1"/>
  <c r="CK219" i="1"/>
  <c r="CK272" i="1" s="1"/>
  <c r="CG209" i="1"/>
  <c r="CG262" i="1" s="1"/>
  <c r="CG241" i="1"/>
  <c r="CG294" i="1" s="1"/>
  <c r="CG221" i="1"/>
  <c r="CG274" i="1" s="1"/>
  <c r="CG232" i="1"/>
  <c r="CG285" i="1" s="1"/>
  <c r="CG210" i="1"/>
  <c r="CG263" i="1" s="1"/>
  <c r="BC226" i="1"/>
  <c r="BC279" i="1" s="1"/>
  <c r="CG218" i="1"/>
  <c r="CG271" i="1" s="1"/>
  <c r="CG211" i="1"/>
  <c r="CG264" i="1" s="1"/>
  <c r="AD90" i="1"/>
  <c r="CG242" i="1"/>
  <c r="CG295" i="1" s="1"/>
  <c r="CK237" i="1"/>
  <c r="BC242" i="1"/>
  <c r="BC295" i="1" s="1"/>
  <c r="CK218" i="1"/>
  <c r="CK271" i="1" s="1"/>
  <c r="BN211" i="1"/>
  <c r="BN264" i="1" s="1"/>
  <c r="BC236" i="1"/>
  <c r="BC289" i="1" s="1"/>
  <c r="CG240" i="1"/>
  <c r="CG293" i="1" s="1"/>
  <c r="AD89" i="1"/>
  <c r="AH84" i="1"/>
  <c r="CG233" i="1"/>
  <c r="CG286" i="1" s="1"/>
  <c r="CG213" i="1"/>
  <c r="CG216" i="1"/>
  <c r="CG269" i="1" s="1"/>
  <c r="CG235" i="1"/>
  <c r="CG288" i="1" s="1"/>
  <c r="CG212" i="1"/>
  <c r="CG265" i="1" s="1"/>
  <c r="CG228" i="1"/>
  <c r="CG281" i="1" s="1"/>
  <c r="DA45" i="1"/>
  <c r="CC212" i="1"/>
  <c r="CC265" i="1" s="1"/>
  <c r="CC239" i="1"/>
  <c r="CC292" i="1" s="1"/>
  <c r="CG239" i="1"/>
  <c r="CG292" i="1" s="1"/>
  <c r="DA47" i="1"/>
  <c r="V45" i="1"/>
  <c r="CG238" i="1"/>
  <c r="CG291" i="1" s="1"/>
  <c r="CG215" i="1"/>
  <c r="CG268" i="1" s="1"/>
  <c r="BN221" i="1"/>
  <c r="CG223" i="1"/>
  <c r="CG276" i="1" s="1"/>
  <c r="DA46" i="1"/>
  <c r="CC238" i="1"/>
  <c r="CC291" i="1" s="1"/>
  <c r="CC234" i="1"/>
  <c r="CC287" i="1" s="1"/>
  <c r="CG234" i="1"/>
  <c r="CG287" i="1" s="1"/>
  <c r="CC213" i="1"/>
  <c r="CC266" i="1" s="1"/>
  <c r="CG219" i="1"/>
  <c r="CG226" i="1"/>
  <c r="CG279" i="1" s="1"/>
  <c r="BN207" i="1"/>
  <c r="CG214" i="1"/>
  <c r="CG267" i="1" s="1"/>
  <c r="CG222" i="1"/>
  <c r="CG275" i="1" s="1"/>
  <c r="BN238" i="1"/>
  <c r="BN291" i="1" s="1"/>
  <c r="CG237" i="1"/>
  <c r="CG290" i="1" s="1"/>
  <c r="CG229" i="1"/>
  <c r="CG282" i="1" s="1"/>
  <c r="CG206" i="1"/>
  <c r="CG259" i="1" s="1"/>
  <c r="CG220" i="1"/>
  <c r="CG273" i="1" s="1"/>
  <c r="DA20" i="1"/>
  <c r="DA44" i="1"/>
  <c r="V36" i="1"/>
  <c r="DA41" i="1"/>
  <c r="CC219" i="1"/>
  <c r="CC272" i="1" s="1"/>
  <c r="CC221" i="1"/>
  <c r="CC274" i="1" s="1"/>
  <c r="CC242" i="1"/>
  <c r="CC295" i="1" s="1"/>
  <c r="CC216" i="1"/>
  <c r="CC269" i="1" s="1"/>
  <c r="CC236" i="1"/>
  <c r="CC289" i="1" s="1"/>
  <c r="V40" i="1"/>
  <c r="V28" i="1"/>
  <c r="CC240" i="1"/>
  <c r="CC293" i="1" s="1"/>
  <c r="CC214" i="1"/>
  <c r="CC267" i="1" s="1"/>
  <c r="CK227" i="1"/>
  <c r="CK280" i="1" s="1"/>
  <c r="BN213" i="1"/>
  <c r="BN228" i="1"/>
  <c r="CC217" i="1"/>
  <c r="CC270" i="1" s="1"/>
  <c r="CC209" i="1"/>
  <c r="CC262" i="1" s="1"/>
  <c r="DA11" i="1"/>
  <c r="V29" i="1"/>
  <c r="U100" i="6"/>
  <c r="J100" i="6"/>
  <c r="AG100" i="6"/>
  <c r="I100" i="6"/>
  <c r="W100" i="6"/>
  <c r="AD100" i="6"/>
  <c r="C100" i="6"/>
  <c r="N100" i="6"/>
  <c r="L100" i="6"/>
  <c r="O100" i="6"/>
  <c r="AA100" i="6"/>
  <c r="X100" i="6"/>
  <c r="R100" i="6"/>
  <c r="G100" i="6"/>
  <c r="H100" i="6"/>
  <c r="S100" i="6"/>
  <c r="P100" i="6"/>
  <c r="Q100" i="6"/>
  <c r="M100" i="6"/>
  <c r="AB100" i="6"/>
  <c r="F100" i="6"/>
  <c r="E100" i="6"/>
  <c r="V100" i="6"/>
  <c r="Y100" i="6"/>
  <c r="AE100" i="6"/>
  <c r="K100" i="6"/>
  <c r="Z100" i="6"/>
  <c r="AC100" i="6"/>
  <c r="AF100" i="6"/>
  <c r="AI100" i="6"/>
  <c r="T100" i="6"/>
  <c r="D100" i="6"/>
  <c r="AK100" i="6"/>
  <c r="AL100" i="6"/>
  <c r="AH100" i="6"/>
  <c r="AJ100" i="6"/>
  <c r="AM100" i="6"/>
  <c r="AY214" i="1"/>
  <c r="AY238" i="1"/>
  <c r="V37" i="1"/>
  <c r="AY213" i="1"/>
  <c r="AY206" i="1"/>
  <c r="Z85" i="1"/>
  <c r="AY211" i="1"/>
  <c r="BY209" i="1"/>
  <c r="BY262" i="1" s="1"/>
  <c r="AY226" i="1"/>
  <c r="BY226" i="1"/>
  <c r="BY241" i="1"/>
  <c r="AY225" i="1"/>
  <c r="AY278" i="1" s="1"/>
  <c r="AY242" i="1"/>
  <c r="AY210" i="1"/>
  <c r="AY209" i="1"/>
  <c r="BY214" i="1"/>
  <c r="AY235" i="1"/>
  <c r="AY219" i="1"/>
  <c r="AY234" i="1"/>
  <c r="AY218" i="1"/>
  <c r="AY271" i="1" s="1"/>
  <c r="AY207" i="1"/>
  <c r="AY231" i="1"/>
  <c r="BY232" i="1"/>
  <c r="AY241" i="1"/>
  <c r="AY215" i="1"/>
  <c r="BR209" i="1"/>
  <c r="BR262" i="1" s="1"/>
  <c r="AD87" i="1"/>
  <c r="AH85" i="1"/>
  <c r="AW46" i="1"/>
  <c r="BC210" i="1"/>
  <c r="BC263" i="1" s="1"/>
  <c r="BC235" i="1"/>
  <c r="BC288" i="1" s="1"/>
  <c r="BC239" i="1"/>
  <c r="BC292" i="1" s="1"/>
  <c r="CC233" i="1"/>
  <c r="CC286" i="1" s="1"/>
  <c r="BC223" i="1"/>
  <c r="BC276" i="1" s="1"/>
  <c r="CC207" i="1"/>
  <c r="CC260" i="1" s="1"/>
  <c r="BC207" i="1"/>
  <c r="BC260" i="1" s="1"/>
  <c r="CC210" i="1"/>
  <c r="CC232" i="1"/>
  <c r="CC228" i="1"/>
  <c r="CC281" i="1" s="1"/>
  <c r="CC235" i="1"/>
  <c r="CC288" i="1" s="1"/>
  <c r="Z86" i="1"/>
  <c r="BC218" i="1"/>
  <c r="BC271" i="1" s="1"/>
  <c r="CA84" i="1"/>
  <c r="V26" i="1"/>
  <c r="CC237" i="1"/>
  <c r="CC290" i="1" s="1"/>
  <c r="CA87" i="1"/>
  <c r="CC211" i="1"/>
  <c r="CC264" i="1" s="1"/>
  <c r="CA83" i="1"/>
  <c r="CC206" i="1"/>
  <c r="CC224" i="1"/>
  <c r="U96" i="6" s="1"/>
  <c r="BR215" i="1"/>
  <c r="BR268" i="1" s="1"/>
  <c r="CE82" i="1"/>
  <c r="V16" i="1"/>
  <c r="BC231" i="1"/>
  <c r="BC284" i="1" s="1"/>
  <c r="CC230" i="1"/>
  <c r="CC283" i="1" s="1"/>
  <c r="BC215" i="1"/>
  <c r="BC268" i="1" s="1"/>
  <c r="CC229" i="1"/>
  <c r="CC282" i="1" s="1"/>
  <c r="S85" i="1"/>
  <c r="BC229" i="1"/>
  <c r="BC282" i="1" s="1"/>
  <c r="BR236" i="1"/>
  <c r="BR289" i="1" s="1"/>
  <c r="Z82" i="1"/>
  <c r="BA87" i="1"/>
  <c r="BC234" i="1"/>
  <c r="BC287" i="1" s="1"/>
  <c r="BA85" i="1"/>
  <c r="BC241" i="1"/>
  <c r="BC294" i="1" s="1"/>
  <c r="CC241" i="1"/>
  <c r="AL96" i="6" s="1"/>
  <c r="CC208" i="1"/>
  <c r="CC261" i="1" s="1"/>
  <c r="CC215" i="1"/>
  <c r="CC268" i="1" s="1"/>
  <c r="CC225" i="1"/>
  <c r="CC278" i="1" s="1"/>
  <c r="O49" i="1"/>
  <c r="BC230" i="1"/>
  <c r="BC283" i="1" s="1"/>
  <c r="CC231" i="1"/>
  <c r="CC284" i="1" s="1"/>
  <c r="CC218" i="1"/>
  <c r="O96" i="6" s="1"/>
  <c r="BC213" i="1"/>
  <c r="BC266" i="1" s="1"/>
  <c r="BC238" i="1"/>
  <c r="BC291" i="1" s="1"/>
  <c r="CC227" i="1"/>
  <c r="CC223" i="1"/>
  <c r="BC211" i="1"/>
  <c r="BC264" i="1" s="1"/>
  <c r="CC226" i="1"/>
  <c r="CC279" i="1" s="1"/>
  <c r="CC222" i="1"/>
  <c r="CC275" i="1" s="1"/>
  <c r="BR239" i="1"/>
  <c r="BR292" i="1" s="1"/>
  <c r="BT292" i="1" s="1"/>
  <c r="AW35" i="1"/>
  <c r="AW43" i="1"/>
  <c r="AW32" i="1"/>
  <c r="AW31" i="1"/>
  <c r="AW38" i="1"/>
  <c r="AW42" i="1"/>
  <c r="AW47" i="1"/>
  <c r="AW36" i="1"/>
  <c r="AW41" i="1"/>
  <c r="AW39" i="1"/>
  <c r="AW45" i="1"/>
  <c r="AW33" i="1"/>
  <c r="CP20" i="1"/>
  <c r="AW44" i="1"/>
  <c r="AW37" i="1"/>
  <c r="AW40" i="1"/>
  <c r="CP46" i="1"/>
  <c r="AW34" i="1"/>
  <c r="CP47" i="1"/>
  <c r="AN78" i="6"/>
  <c r="AQ78" i="6" s="1"/>
  <c r="S83" i="1"/>
  <c r="V33" i="1"/>
  <c r="CK222" i="1"/>
  <c r="CK275" i="1" s="1"/>
  <c r="O84" i="1"/>
  <c r="AN81" i="6"/>
  <c r="AQ81" i="6" s="1"/>
  <c r="BN233" i="1"/>
  <c r="O82" i="1"/>
  <c r="S81" i="1"/>
  <c r="AN80" i="6"/>
  <c r="AQ80" i="6" s="1"/>
  <c r="V42" i="1"/>
  <c r="V32" i="1"/>
  <c r="V22" i="1"/>
  <c r="S82" i="1"/>
  <c r="V47" i="1"/>
  <c r="V43" i="1"/>
  <c r="CK208" i="1"/>
  <c r="CK261" i="1" s="1"/>
  <c r="BN225" i="1"/>
  <c r="V41" i="1"/>
  <c r="V31" i="1"/>
  <c r="V21" i="1"/>
  <c r="S84" i="1"/>
  <c r="V24" i="1"/>
  <c r="V23" i="1"/>
  <c r="V25" i="1"/>
  <c r="CK212" i="1"/>
  <c r="BY227" i="1"/>
  <c r="AD86" i="1"/>
  <c r="CK240" i="1"/>
  <c r="CK293" i="1" s="1"/>
  <c r="BY215" i="1"/>
  <c r="CK229" i="1"/>
  <c r="CK282" i="1" s="1"/>
  <c r="CK236" i="1"/>
  <c r="CK238" i="1"/>
  <c r="BY223" i="1"/>
  <c r="CK241" i="1"/>
  <c r="CK294" i="1" s="1"/>
  <c r="CK211" i="1"/>
  <c r="BN234" i="1"/>
  <c r="AN84" i="6"/>
  <c r="AQ84" i="6" s="1"/>
  <c r="V30" i="1"/>
  <c r="V20" i="1"/>
  <c r="BA90" i="1"/>
  <c r="CK214" i="1"/>
  <c r="CK267" i="1" s="1"/>
  <c r="CK225" i="1"/>
  <c r="CK278" i="1" s="1"/>
  <c r="CK206" i="1"/>
  <c r="CK259" i="1" s="1"/>
  <c r="CK230" i="1"/>
  <c r="V12" i="1"/>
  <c r="Z49" i="1"/>
  <c r="CA81" i="1"/>
  <c r="AD83" i="1"/>
  <c r="AH89" i="1"/>
  <c r="J69" i="6"/>
  <c r="L69" i="6"/>
  <c r="AH69" i="6"/>
  <c r="V44" i="1"/>
  <c r="V35" i="1"/>
  <c r="CK232" i="1"/>
  <c r="BA86" i="1"/>
  <c r="CK235" i="1"/>
  <c r="CK288" i="1" s="1"/>
  <c r="CK209" i="1"/>
  <c r="BA89" i="1"/>
  <c r="CK233" i="1"/>
  <c r="CK286" i="1" s="1"/>
  <c r="CK234" i="1"/>
  <c r="O83" i="1"/>
  <c r="CA86" i="1"/>
  <c r="Z83" i="1"/>
  <c r="BA84" i="1"/>
  <c r="AD84" i="1"/>
  <c r="AH88" i="1"/>
  <c r="V19" i="1"/>
  <c r="BA83" i="1"/>
  <c r="K68" i="6"/>
  <c r="M68" i="6"/>
  <c r="J68" i="6"/>
  <c r="L68" i="6"/>
  <c r="N68" i="6"/>
  <c r="O68" i="6"/>
  <c r="Q68" i="6"/>
  <c r="R68" i="6"/>
  <c r="P68" i="6"/>
  <c r="V68" i="6"/>
  <c r="S68" i="6"/>
  <c r="T68" i="6"/>
  <c r="U68" i="6"/>
  <c r="X68" i="6"/>
  <c r="Y68" i="6"/>
  <c r="W68" i="6"/>
  <c r="Z68" i="6"/>
  <c r="AA68" i="6"/>
  <c r="AC68" i="6"/>
  <c r="AD68" i="6"/>
  <c r="AB68" i="6"/>
  <c r="AF68" i="6"/>
  <c r="AG68" i="6"/>
  <c r="AE68" i="6"/>
  <c r="AH68" i="6"/>
  <c r="AJ68" i="6"/>
  <c r="AI68" i="6"/>
  <c r="CK215" i="1"/>
  <c r="CK268" i="1" s="1"/>
  <c r="CK228" i="1"/>
  <c r="CK210" i="1"/>
  <c r="CK263" i="1" s="1"/>
  <c r="CK216" i="1"/>
  <c r="S49" i="1"/>
  <c r="AH49" i="1"/>
  <c r="CA85" i="1"/>
  <c r="Z84" i="1"/>
  <c r="BA88" i="1"/>
  <c r="AH86" i="1"/>
  <c r="V39" i="1"/>
  <c r="CK242" i="1"/>
  <c r="BA81" i="1"/>
  <c r="CK239" i="1"/>
  <c r="CK224" i="1"/>
  <c r="CK277" i="1" s="1"/>
  <c r="CK213" i="1"/>
  <c r="CK266" i="1" s="1"/>
  <c r="CK221" i="1"/>
  <c r="CK274" i="1" s="1"/>
  <c r="CK207" i="1"/>
  <c r="CK260" i="1" s="1"/>
  <c r="CK217" i="1"/>
  <c r="CK226" i="1"/>
  <c r="W98" i="6" s="1"/>
  <c r="CK231" i="1"/>
  <c r="CK284" i="1" s="1"/>
  <c r="BY219" i="1"/>
  <c r="BY217" i="1"/>
  <c r="BR211" i="1"/>
  <c r="BR264" i="1" s="1"/>
  <c r="AD88" i="1"/>
  <c r="V38" i="1"/>
  <c r="V27" i="1"/>
  <c r="V18" i="1"/>
  <c r="AN75" i="6"/>
  <c r="AQ75" i="6" s="1"/>
  <c r="BN217" i="1"/>
  <c r="BY221" i="1"/>
  <c r="BN229" i="1"/>
  <c r="AY237" i="1"/>
  <c r="BN218" i="1"/>
  <c r="AY228" i="1"/>
  <c r="AY224" i="1"/>
  <c r="AY221" i="1"/>
  <c r="AY217" i="1"/>
  <c r="BY224" i="1"/>
  <c r="BY216" i="1"/>
  <c r="BY238" i="1"/>
  <c r="BY208" i="1"/>
  <c r="BY261" i="1" s="1"/>
  <c r="BN237" i="1"/>
  <c r="BN220" i="1"/>
  <c r="BN227" i="1"/>
  <c r="BN226" i="1"/>
  <c r="BC217" i="1"/>
  <c r="BC270" i="1" s="1"/>
  <c r="BC228" i="1"/>
  <c r="BC281" i="1" s="1"/>
  <c r="BC209" i="1"/>
  <c r="BC262" i="1" s="1"/>
  <c r="BC206" i="1"/>
  <c r="BC259" i="1" s="1"/>
  <c r="CE85" i="1"/>
  <c r="BY230" i="1"/>
  <c r="BY239" i="1"/>
  <c r="BN216" i="1"/>
  <c r="BY235" i="1"/>
  <c r="BY222" i="1"/>
  <c r="BN230" i="1"/>
  <c r="BY218" i="1"/>
  <c r="BY233" i="1"/>
  <c r="BC219" i="1"/>
  <c r="BC272" i="1" s="1"/>
  <c r="AY212" i="1"/>
  <c r="AY208" i="1"/>
  <c r="AY232" i="1"/>
  <c r="BY220" i="1"/>
  <c r="BY210" i="1"/>
  <c r="BY263" i="1" s="1"/>
  <c r="BY212" i="1"/>
  <c r="BY265" i="1" s="1"/>
  <c r="BY229" i="1"/>
  <c r="BN215" i="1"/>
  <c r="BN214" i="1"/>
  <c r="BV214" i="1" s="1"/>
  <c r="BN223" i="1"/>
  <c r="BN206" i="1"/>
  <c r="BN231" i="1"/>
  <c r="BC232" i="1"/>
  <c r="BC285" i="1" s="1"/>
  <c r="BE285" i="1" s="1"/>
  <c r="BC212" i="1"/>
  <c r="BC265" i="1" s="1"/>
  <c r="BC240" i="1"/>
  <c r="BC293" i="1" s="1"/>
  <c r="BC214" i="1"/>
  <c r="BC267" i="1" s="1"/>
  <c r="CE81" i="1"/>
  <c r="BY206" i="1"/>
  <c r="BY259" i="1" s="1"/>
  <c r="BN239" i="1"/>
  <c r="CE87" i="1"/>
  <c r="DG230" i="1"/>
  <c r="DG218" i="1"/>
  <c r="DG227" i="1"/>
  <c r="DG225" i="1"/>
  <c r="DG222" i="1"/>
  <c r="DG211" i="1"/>
  <c r="DG217" i="1"/>
  <c r="DG214" i="1"/>
  <c r="DG236" i="1"/>
  <c r="DG207" i="1"/>
  <c r="DG209" i="1"/>
  <c r="DG241" i="1"/>
  <c r="DG228" i="1"/>
  <c r="DG219" i="1"/>
  <c r="DG240" i="1"/>
  <c r="DG229" i="1"/>
  <c r="DG206" i="1"/>
  <c r="DG220" i="1"/>
  <c r="DG239" i="1"/>
  <c r="DG215" i="1"/>
  <c r="DG213" i="1"/>
  <c r="DG237" i="1"/>
  <c r="DG212" i="1"/>
  <c r="DG234" i="1"/>
  <c r="DG210" i="1"/>
  <c r="DG235" i="1"/>
  <c r="DG223" i="1"/>
  <c r="DG232" i="1"/>
  <c r="DG231" i="1"/>
  <c r="DG221" i="1"/>
  <c r="DG226" i="1"/>
  <c r="DG224" i="1"/>
  <c r="DG242" i="1"/>
  <c r="DG216" i="1"/>
  <c r="DG238" i="1"/>
  <c r="DG233" i="1"/>
  <c r="DG208" i="1"/>
  <c r="AY240" i="1"/>
  <c r="AY233" i="1"/>
  <c r="BY242" i="1"/>
  <c r="BN222" i="1"/>
  <c r="BC225" i="1"/>
  <c r="BC278" i="1" s="1"/>
  <c r="AY239" i="1"/>
  <c r="AY236" i="1"/>
  <c r="AY216" i="1"/>
  <c r="BY234" i="1"/>
  <c r="BY231" i="1"/>
  <c r="BY237" i="1"/>
  <c r="BY207" i="1"/>
  <c r="BY260" i="1" s="1"/>
  <c r="BN241" i="1"/>
  <c r="BN240" i="1"/>
  <c r="BN219" i="1"/>
  <c r="BN212" i="1"/>
  <c r="BN210" i="1"/>
  <c r="BC216" i="1"/>
  <c r="BC269" i="1" s="1"/>
  <c r="BC224" i="1"/>
  <c r="BC277" i="1" s="1"/>
  <c r="BC237" i="1"/>
  <c r="BC290" i="1" s="1"/>
  <c r="CE83" i="1"/>
  <c r="DS222" i="1"/>
  <c r="DS220" i="1"/>
  <c r="DS237" i="1"/>
  <c r="DS208" i="1"/>
  <c r="DS217" i="1"/>
  <c r="DS214" i="1"/>
  <c r="DS206" i="1"/>
  <c r="DS239" i="1"/>
  <c r="DS209" i="1"/>
  <c r="DS224" i="1"/>
  <c r="DS233" i="1"/>
  <c r="DS230" i="1"/>
  <c r="DS228" i="1"/>
  <c r="DS207" i="1"/>
  <c r="DS229" i="1"/>
  <c r="DS213" i="1"/>
  <c r="DS211" i="1"/>
  <c r="DS226" i="1"/>
  <c r="DS223" i="1"/>
  <c r="DS235" i="1"/>
  <c r="DS242" i="1"/>
  <c r="DS232" i="1"/>
  <c r="DS212" i="1"/>
  <c r="DS238" i="1"/>
  <c r="DS236" i="1"/>
  <c r="DS218" i="1"/>
  <c r="DS215" i="1"/>
  <c r="DS227" i="1"/>
  <c r="DS241" i="1"/>
  <c r="DS240" i="1"/>
  <c r="DS221" i="1"/>
  <c r="DS210" i="1"/>
  <c r="DS219" i="1"/>
  <c r="DS234" i="1"/>
  <c r="DS231" i="1"/>
  <c r="DS216" i="1"/>
  <c r="DS225" i="1"/>
  <c r="DC242" i="1"/>
  <c r="DC234" i="1"/>
  <c r="DC240" i="1"/>
  <c r="DC236" i="1"/>
  <c r="DC219" i="1"/>
  <c r="DC209" i="1"/>
  <c r="DC230" i="1"/>
  <c r="DC221" i="1"/>
  <c r="DC215" i="1"/>
  <c r="DC211" i="1"/>
  <c r="DC210" i="1"/>
  <c r="DC218" i="1"/>
  <c r="DC228" i="1"/>
  <c r="DC229" i="1"/>
  <c r="DC237" i="1"/>
  <c r="DC241" i="1"/>
  <c r="DC233" i="1"/>
  <c r="DC239" i="1"/>
  <c r="DC223" i="1"/>
  <c r="DC220" i="1"/>
  <c r="DC217" i="1"/>
  <c r="DC216" i="1"/>
  <c r="DC225" i="1"/>
  <c r="DC213" i="1"/>
  <c r="DC224" i="1"/>
  <c r="DC238" i="1"/>
  <c r="DC222" i="1"/>
  <c r="DC227" i="1"/>
  <c r="DC231" i="1"/>
  <c r="DC232" i="1"/>
  <c r="DC226" i="1"/>
  <c r="DC235" i="1"/>
  <c r="DC208" i="1"/>
  <c r="DC214" i="1"/>
  <c r="DC212" i="1"/>
  <c r="BY236" i="1"/>
  <c r="BN236" i="1"/>
  <c r="CE84" i="1"/>
  <c r="BY213" i="1"/>
  <c r="BY266" i="1" s="1"/>
  <c r="BN242" i="1"/>
  <c r="V13" i="1"/>
  <c r="BY225" i="1"/>
  <c r="BN209" i="1"/>
  <c r="BC233" i="1"/>
  <c r="BC286" i="1" s="1"/>
  <c r="BC222" i="1"/>
  <c r="BC275" i="1" s="1"/>
  <c r="CE86" i="1"/>
  <c r="AY227" i="1"/>
  <c r="AY223" i="1"/>
  <c r="AY220" i="1"/>
  <c r="BY240" i="1"/>
  <c r="BY211" i="1"/>
  <c r="BY264" i="1" s="1"/>
  <c r="BN235" i="1"/>
  <c r="BN208" i="1"/>
  <c r="BN232" i="1"/>
  <c r="BC227" i="1"/>
  <c r="BC280" i="1" s="1"/>
  <c r="BC208" i="1"/>
  <c r="BC261" i="1" s="1"/>
  <c r="BC221" i="1"/>
  <c r="BC274" i="1" s="1"/>
  <c r="AN79" i="6"/>
  <c r="AQ79" i="6" s="1"/>
  <c r="BR213" i="1"/>
  <c r="BR266" i="1" s="1"/>
  <c r="BG212" i="1"/>
  <c r="BG265" i="1" s="1"/>
  <c r="BR212" i="1"/>
  <c r="BR265" i="1" s="1"/>
  <c r="BR226" i="1"/>
  <c r="BR279" i="1" s="1"/>
  <c r="BR219" i="1"/>
  <c r="BR272" i="1" s="1"/>
  <c r="CT82" i="1"/>
  <c r="DA82" i="1" s="1"/>
  <c r="CT81" i="1"/>
  <c r="DA81" i="1" s="1"/>
  <c r="CT84" i="1"/>
  <c r="DA84" i="1" s="1"/>
  <c r="CT85" i="1"/>
  <c r="DA85" i="1" s="1"/>
  <c r="CT83" i="1"/>
  <c r="DA83" i="1" s="1"/>
  <c r="CT86" i="1"/>
  <c r="DA86" i="1" s="1"/>
  <c r="CT87" i="1"/>
  <c r="DA87" i="1" s="1"/>
  <c r="CT89" i="1"/>
  <c r="DA89" i="1" s="1"/>
  <c r="CT88" i="1"/>
  <c r="DA88" i="1" s="1"/>
  <c r="CT90" i="1"/>
  <c r="DA90" i="1" s="1"/>
  <c r="CT91" i="1"/>
  <c r="DA91" i="1" s="1"/>
  <c r="CM81" i="1"/>
  <c r="CK119" i="1"/>
  <c r="CM90" i="1"/>
  <c r="CP90" i="1" s="1"/>
  <c r="CM92" i="1"/>
  <c r="CP92" i="1" s="1"/>
  <c r="CM91" i="1"/>
  <c r="CP91" i="1" s="1"/>
  <c r="CM93" i="1"/>
  <c r="CP93" i="1" s="1"/>
  <c r="CM94" i="1"/>
  <c r="CP94" i="1" s="1"/>
  <c r="CM95" i="1"/>
  <c r="CP95" i="1" s="1"/>
  <c r="CM97" i="1"/>
  <c r="CP97" i="1" s="1"/>
  <c r="CM98" i="1"/>
  <c r="CP98" i="1" s="1"/>
  <c r="CM99" i="1"/>
  <c r="CP99" i="1" s="1"/>
  <c r="CM96" i="1"/>
  <c r="CP96" i="1" s="1"/>
  <c r="CM100" i="1"/>
  <c r="CP100" i="1" s="1"/>
  <c r="CM102" i="1"/>
  <c r="CP102" i="1" s="1"/>
  <c r="CM101" i="1"/>
  <c r="CP101" i="1" s="1"/>
  <c r="CM105" i="1"/>
  <c r="CP105" i="1" s="1"/>
  <c r="CM103" i="1"/>
  <c r="CP103" i="1" s="1"/>
  <c r="CM104" i="1"/>
  <c r="CP104" i="1" s="1"/>
  <c r="CM106" i="1"/>
  <c r="CP106" i="1" s="1"/>
  <c r="CM109" i="1"/>
  <c r="CP109" i="1" s="1"/>
  <c r="DX109" i="1" s="1"/>
  <c r="CM107" i="1"/>
  <c r="CP107" i="1" s="1"/>
  <c r="DX107" i="1" s="1"/>
  <c r="CM108" i="1"/>
  <c r="CP108" i="1" s="1"/>
  <c r="DX108" i="1" s="1"/>
  <c r="CM110" i="1"/>
  <c r="CP110" i="1" s="1"/>
  <c r="DX110" i="1" s="1"/>
  <c r="CM112" i="1"/>
  <c r="CP112" i="1" s="1"/>
  <c r="DX112" i="1" s="1"/>
  <c r="CM113" i="1"/>
  <c r="CP113" i="1" s="1"/>
  <c r="DX113" i="1" s="1"/>
  <c r="CM111" i="1"/>
  <c r="CP111" i="1" s="1"/>
  <c r="DX111" i="1" s="1"/>
  <c r="CM115" i="1"/>
  <c r="CP115" i="1" s="1"/>
  <c r="DX115" i="1" s="1"/>
  <c r="CM114" i="1"/>
  <c r="CP114" i="1" s="1"/>
  <c r="DX114" i="1" s="1"/>
  <c r="BR232" i="1"/>
  <c r="BR285" i="1" s="1"/>
  <c r="BR208" i="1"/>
  <c r="BR261" i="1" s="1"/>
  <c r="BR207" i="1"/>
  <c r="BR260" i="1" s="1"/>
  <c r="BR233" i="1"/>
  <c r="BR286" i="1" s="1"/>
  <c r="BR228" i="1"/>
  <c r="BR281" i="1" s="1"/>
  <c r="BA49" i="1"/>
  <c r="BG238" i="1"/>
  <c r="BG291" i="1" s="1"/>
  <c r="BG218" i="1"/>
  <c r="BG271" i="1" s="1"/>
  <c r="BC119" i="1"/>
  <c r="BR231" i="1"/>
  <c r="BR284" i="1" s="1"/>
  <c r="V15" i="1"/>
  <c r="BG242" i="1"/>
  <c r="BG295" i="1" s="1"/>
  <c r="BG230" i="1"/>
  <c r="BG283" i="1" s="1"/>
  <c r="BG237" i="1"/>
  <c r="BG290" i="1" s="1"/>
  <c r="BG225" i="1"/>
  <c r="BG278" i="1" s="1"/>
  <c r="AD49" i="1"/>
  <c r="BG226" i="1"/>
  <c r="BG279" i="1" s="1"/>
  <c r="BR229" i="1"/>
  <c r="BR282" i="1" s="1"/>
  <c r="BR227" i="1"/>
  <c r="BR280" i="1" s="1"/>
  <c r="BR218" i="1"/>
  <c r="BR271" i="1" s="1"/>
  <c r="BR230" i="1"/>
  <c r="BR283" i="1" s="1"/>
  <c r="BR222" i="1"/>
  <c r="BR275" i="1" s="1"/>
  <c r="BG209" i="1"/>
  <c r="BG262" i="1" s="1"/>
  <c r="BR225" i="1"/>
  <c r="BR278" i="1" s="1"/>
  <c r="BR237" i="1"/>
  <c r="BR290" i="1" s="1"/>
  <c r="BR240" i="1"/>
  <c r="BR293" i="1" s="1"/>
  <c r="BT293" i="1" s="1"/>
  <c r="BG216" i="1"/>
  <c r="BG269" i="1" s="1"/>
  <c r="BG206" i="1"/>
  <c r="BG259" i="1" s="1"/>
  <c r="BG240" i="1"/>
  <c r="BG293" i="1" s="1"/>
  <c r="BG222" i="1"/>
  <c r="BG275" i="1" s="1"/>
  <c r="BG234" i="1"/>
  <c r="BG287" i="1" s="1"/>
  <c r="BG236" i="1"/>
  <c r="BG289" i="1" s="1"/>
  <c r="BG214" i="1"/>
  <c r="BG267" i="1" s="1"/>
  <c r="BG227" i="1"/>
  <c r="BG280" i="1" s="1"/>
  <c r="BG221" i="1"/>
  <c r="BG274" i="1" s="1"/>
  <c r="BG224" i="1"/>
  <c r="BG277" i="1" s="1"/>
  <c r="BG231" i="1"/>
  <c r="BG284" i="1" s="1"/>
  <c r="BG207" i="1"/>
  <c r="BG219" i="1"/>
  <c r="BG272" i="1" s="1"/>
  <c r="BG235" i="1"/>
  <c r="BG288" i="1" s="1"/>
  <c r="BG229" i="1"/>
  <c r="BG282" i="1" s="1"/>
  <c r="BG220" i="1"/>
  <c r="BG273" i="1" s="1"/>
  <c r="BG223" i="1"/>
  <c r="BG276" i="1" s="1"/>
  <c r="BG233" i="1"/>
  <c r="BG286" i="1" s="1"/>
  <c r="BG208" i="1"/>
  <c r="BG261" i="1" s="1"/>
  <c r="BG241" i="1"/>
  <c r="BG294" i="1" s="1"/>
  <c r="BG210" i="1"/>
  <c r="BG263" i="1" s="1"/>
  <c r="BG213" i="1"/>
  <c r="BG266" i="1" s="1"/>
  <c r="BG228" i="1"/>
  <c r="BG281" i="1" s="1"/>
  <c r="BG215" i="1"/>
  <c r="BG268" i="1" s="1"/>
  <c r="BG211" i="1"/>
  <c r="BG264" i="1" s="1"/>
  <c r="BG239" i="1"/>
  <c r="BG292" i="1" s="1"/>
  <c r="BG232" i="1"/>
  <c r="BG285" i="1" s="1"/>
  <c r="BI285" i="1" s="1"/>
  <c r="V14" i="1"/>
  <c r="BR210" i="1"/>
  <c r="BR263" i="1" s="1"/>
  <c r="BR216" i="1"/>
  <c r="BR269" i="1" s="1"/>
  <c r="BR242" i="1"/>
  <c r="BR295" i="1" s="1"/>
  <c r="BR224" i="1"/>
  <c r="BR277" i="1" s="1"/>
  <c r="BR206" i="1"/>
  <c r="BR241" i="1"/>
  <c r="BR294" i="1" s="1"/>
  <c r="BR221" i="1"/>
  <c r="BR274" i="1" s="1"/>
  <c r="BR235" i="1"/>
  <c r="BR288" i="1" s="1"/>
  <c r="BR220" i="1"/>
  <c r="BR273" i="1" s="1"/>
  <c r="BR234" i="1"/>
  <c r="BR287" i="1" s="1"/>
  <c r="BR217" i="1"/>
  <c r="BR270" i="1" s="1"/>
  <c r="BR223" i="1"/>
  <c r="BR276" i="1" s="1"/>
  <c r="BR238" i="1"/>
  <c r="BR291" i="1" s="1"/>
  <c r="CT49" i="1"/>
  <c r="CT268" i="1"/>
  <c r="CT259" i="1"/>
  <c r="CR297" i="1"/>
  <c r="CR244" i="1"/>
  <c r="CT215" i="1"/>
  <c r="CT206" i="1"/>
  <c r="CX206" i="1"/>
  <c r="CV244" i="1"/>
  <c r="CX215" i="1"/>
  <c r="AD74" i="6"/>
  <c r="AI74" i="6"/>
  <c r="AF74" i="6"/>
  <c r="AJ74" i="6"/>
  <c r="AH74" i="6"/>
  <c r="AG74" i="6"/>
  <c r="AE74" i="6"/>
  <c r="CI295" i="1"/>
  <c r="CI294" i="1"/>
  <c r="CE240" i="1"/>
  <c r="CE234" i="1"/>
  <c r="CE232" i="1"/>
  <c r="CE239" i="1"/>
  <c r="AM86" i="6"/>
  <c r="CE227" i="1"/>
  <c r="CE219" i="1"/>
  <c r="CE241" i="1"/>
  <c r="CE222" i="1"/>
  <c r="CE229" i="1"/>
  <c r="CE235" i="1"/>
  <c r="CM241" i="1"/>
  <c r="CE217" i="1"/>
  <c r="CE224" i="1"/>
  <c r="CE231" i="1"/>
  <c r="CE238" i="1"/>
  <c r="CE220" i="1"/>
  <c r="CE226" i="1"/>
  <c r="CE233" i="1"/>
  <c r="CM242" i="1"/>
  <c r="CE221" i="1"/>
  <c r="CE228" i="1"/>
  <c r="CE236" i="1"/>
  <c r="CE242" i="1"/>
  <c r="CE218" i="1"/>
  <c r="CE216" i="1"/>
  <c r="CE223" i="1"/>
  <c r="CE230" i="1"/>
  <c r="CE237" i="1"/>
  <c r="CE225" i="1"/>
  <c r="T98" i="6"/>
  <c r="BA217" i="1"/>
  <c r="V98" i="6"/>
  <c r="AY287" i="1"/>
  <c r="AY275" i="1"/>
  <c r="AT268" i="1"/>
  <c r="AW268" i="1" s="1"/>
  <c r="AT274" i="1"/>
  <c r="BE232" i="1"/>
  <c r="BL232" i="1" s="1"/>
  <c r="CC273" i="1"/>
  <c r="AJ96" i="6"/>
  <c r="Q96" i="6"/>
  <c r="CK276" i="1"/>
  <c r="AJ116" i="6"/>
  <c r="DU215" i="1" l="1"/>
  <c r="DQ268" i="1"/>
  <c r="DQ259" i="1"/>
  <c r="DM215" i="1"/>
  <c r="DI206" i="1"/>
  <c r="DI215" i="1"/>
  <c r="CK273" i="1"/>
  <c r="P98" i="6"/>
  <c r="M96" i="6"/>
  <c r="S98" i="6"/>
  <c r="R96" i="6"/>
  <c r="BK278" i="1"/>
  <c r="P96" i="6"/>
  <c r="BK283" i="1"/>
  <c r="AF96" i="6"/>
  <c r="AD96" i="6"/>
  <c r="AE96" i="6"/>
  <c r="W96" i="6"/>
  <c r="AM96" i="6"/>
  <c r="DK262" i="1"/>
  <c r="F103" i="6"/>
  <c r="DK294" i="1"/>
  <c r="AL103" i="6"/>
  <c r="I103" i="6"/>
  <c r="DK265" i="1"/>
  <c r="DK273" i="1"/>
  <c r="Q103" i="6"/>
  <c r="DK280" i="1"/>
  <c r="X103" i="6"/>
  <c r="O98" i="6"/>
  <c r="S96" i="6"/>
  <c r="DK261" i="1"/>
  <c r="E103" i="6"/>
  <c r="DK281" i="1"/>
  <c r="Y103" i="6"/>
  <c r="AB103" i="6"/>
  <c r="DK284" i="1"/>
  <c r="DK267" i="1"/>
  <c r="K103" i="6"/>
  <c r="DK289" i="1"/>
  <c r="AG103" i="6"/>
  <c r="AM103" i="6"/>
  <c r="DK295" i="1"/>
  <c r="DK276" i="1"/>
  <c r="T103" i="6"/>
  <c r="DK270" i="1"/>
  <c r="N103" i="6"/>
  <c r="DK293" i="1"/>
  <c r="AK103" i="6"/>
  <c r="DK259" i="1"/>
  <c r="DK244" i="1"/>
  <c r="C103" i="6"/>
  <c r="DK266" i="1"/>
  <c r="J103" i="6"/>
  <c r="DK275" i="1"/>
  <c r="S103" i="6"/>
  <c r="DK287" i="1"/>
  <c r="AE103" i="6"/>
  <c r="DK282" i="1"/>
  <c r="Z103" i="6"/>
  <c r="DK283" i="1"/>
  <c r="AA103" i="6"/>
  <c r="H103" i="6"/>
  <c r="DK264" i="1"/>
  <c r="AI103" i="6"/>
  <c r="DK291" i="1"/>
  <c r="DK269" i="1"/>
  <c r="M103" i="6"/>
  <c r="AF103" i="6"/>
  <c r="DK288" i="1"/>
  <c r="DK277" i="1"/>
  <c r="U103" i="6"/>
  <c r="AQ104" i="6"/>
  <c r="Y96" i="6"/>
  <c r="DO297" i="1"/>
  <c r="DK290" i="1"/>
  <c r="AH103" i="6"/>
  <c r="DK268" i="1"/>
  <c r="L103" i="6"/>
  <c r="O103" i="6"/>
  <c r="DK271" i="1"/>
  <c r="AQ100" i="6"/>
  <c r="DK274" i="1"/>
  <c r="R103" i="6"/>
  <c r="D103" i="6"/>
  <c r="DK260" i="1"/>
  <c r="DK286" i="1"/>
  <c r="AD103" i="6"/>
  <c r="W103" i="6"/>
  <c r="DK279" i="1"/>
  <c r="DK285" i="1"/>
  <c r="AC103" i="6"/>
  <c r="DK292" i="1"/>
  <c r="AJ103" i="6"/>
  <c r="DK272" i="1"/>
  <c r="P103" i="6"/>
  <c r="DK278" i="1"/>
  <c r="V103" i="6"/>
  <c r="DK263" i="1"/>
  <c r="G103" i="6"/>
  <c r="BL90" i="1"/>
  <c r="EB112" i="1"/>
  <c r="C39" i="9" s="1"/>
  <c r="DC269" i="1"/>
  <c r="EB176" i="1"/>
  <c r="L39" i="9" s="1"/>
  <c r="EB110" i="1"/>
  <c r="C37" i="9" s="1"/>
  <c r="EB179" i="1"/>
  <c r="L42" i="9" s="1"/>
  <c r="EB177" i="1"/>
  <c r="L40" i="9" s="1"/>
  <c r="EB175" i="1"/>
  <c r="L38" i="9" s="1"/>
  <c r="BA154" i="1"/>
  <c r="EB173" i="1"/>
  <c r="L36" i="9" s="1"/>
  <c r="EB174" i="1"/>
  <c r="L37" i="9" s="1"/>
  <c r="EB114" i="1"/>
  <c r="C41" i="9" s="1"/>
  <c r="DE215" i="1"/>
  <c r="V96" i="6"/>
  <c r="EB171" i="1"/>
  <c r="L34" i="9" s="1"/>
  <c r="EB107" i="1"/>
  <c r="C34" i="9" s="1"/>
  <c r="Z98" i="6"/>
  <c r="AK96" i="6"/>
  <c r="EB115" i="1"/>
  <c r="C42" i="9" s="1"/>
  <c r="R98" i="6"/>
  <c r="EB172" i="1"/>
  <c r="L35" i="9" s="1"/>
  <c r="EB111" i="1"/>
  <c r="C38" i="9" s="1"/>
  <c r="DE206" i="1"/>
  <c r="EB113" i="1"/>
  <c r="C40" i="9" s="1"/>
  <c r="EB178" i="1"/>
  <c r="L41" i="9" s="1"/>
  <c r="BK287" i="1"/>
  <c r="BK239" i="1"/>
  <c r="AI96" i="6"/>
  <c r="Y98" i="6"/>
  <c r="AG96" i="6"/>
  <c r="BK275" i="1"/>
  <c r="X98" i="6"/>
  <c r="AC96" i="6"/>
  <c r="N96" i="6"/>
  <c r="AB96" i="6"/>
  <c r="BV215" i="1"/>
  <c r="BK224" i="1"/>
  <c r="BL81" i="1"/>
  <c r="M98" i="6"/>
  <c r="BK226" i="1"/>
  <c r="BK220" i="1"/>
  <c r="EE30" i="1"/>
  <c r="C28" i="5" s="1"/>
  <c r="EE27" i="1"/>
  <c r="C25" i="5" s="1"/>
  <c r="EE19" i="1"/>
  <c r="C17" i="5" s="1"/>
  <c r="EE32" i="1"/>
  <c r="C30" i="5" s="1"/>
  <c r="EE12" i="1"/>
  <c r="C10" i="5" s="1"/>
  <c r="EE31" i="1"/>
  <c r="C29" i="5" s="1"/>
  <c r="EE15" i="1"/>
  <c r="C13" i="5" s="1"/>
  <c r="EE13" i="1"/>
  <c r="C11" i="5" s="1"/>
  <c r="EE24" i="1"/>
  <c r="C22" i="5" s="1"/>
  <c r="EE25" i="1"/>
  <c r="C23" i="5" s="1"/>
  <c r="EE21" i="1"/>
  <c r="C19" i="5" s="1"/>
  <c r="EE11" i="1"/>
  <c r="C9" i="5" s="1"/>
  <c r="EE33" i="1"/>
  <c r="C31" i="5" s="1"/>
  <c r="EE17" i="1"/>
  <c r="C15" i="5" s="1"/>
  <c r="EE29" i="1"/>
  <c r="C27" i="5" s="1"/>
  <c r="EE20" i="1"/>
  <c r="C18" i="5" s="1"/>
  <c r="H12" i="12"/>
  <c r="EE34" i="1"/>
  <c r="C32" i="5" s="1"/>
  <c r="EE16" i="1"/>
  <c r="C14" i="5" s="1"/>
  <c r="EE18" i="1"/>
  <c r="C16" i="5" s="1"/>
  <c r="EE26" i="1"/>
  <c r="C24" i="5" s="1"/>
  <c r="EE22" i="1"/>
  <c r="C20" i="5" s="1"/>
  <c r="EE14" i="1"/>
  <c r="C12" i="5" s="1"/>
  <c r="EE28" i="1"/>
  <c r="C26" i="5" s="1"/>
  <c r="EE23" i="1"/>
  <c r="C21" i="5" s="1"/>
  <c r="AL95" i="6"/>
  <c r="BK236" i="1"/>
  <c r="AA98" i="6"/>
  <c r="AH98" i="6"/>
  <c r="BK215" i="1"/>
  <c r="BK223" i="1"/>
  <c r="AC98" i="6"/>
  <c r="AD98" i="6"/>
  <c r="BV209" i="1"/>
  <c r="BK216" i="1"/>
  <c r="BV239" i="1"/>
  <c r="BK208" i="1"/>
  <c r="BK234" i="1"/>
  <c r="BK222" i="1"/>
  <c r="BK183" i="1"/>
  <c r="BA145" i="1"/>
  <c r="BK212" i="1"/>
  <c r="BK217" i="1"/>
  <c r="CO238" i="1"/>
  <c r="BK219" i="1"/>
  <c r="BK238" i="1"/>
  <c r="BK229" i="1"/>
  <c r="BK221" i="1"/>
  <c r="BK235" i="1"/>
  <c r="BK214" i="1"/>
  <c r="BK228" i="1"/>
  <c r="BK241" i="1"/>
  <c r="BK211" i="1"/>
  <c r="DW211" i="1" s="1"/>
  <c r="Z96" i="6"/>
  <c r="BK227" i="1"/>
  <c r="BK209" i="1"/>
  <c r="BK231" i="1"/>
  <c r="BK210" i="1"/>
  <c r="BK206" i="1"/>
  <c r="BK233" i="1"/>
  <c r="BK237" i="1"/>
  <c r="BK207" i="1"/>
  <c r="BK242" i="1"/>
  <c r="BK213" i="1"/>
  <c r="BK230" i="1"/>
  <c r="BK271" i="1"/>
  <c r="AY274" i="1"/>
  <c r="BK274" i="1" s="1"/>
  <c r="BK240" i="1"/>
  <c r="BK232" i="1"/>
  <c r="BK218" i="1"/>
  <c r="BK225" i="1"/>
  <c r="EA81" i="1"/>
  <c r="BV119" i="1"/>
  <c r="BV145" i="1"/>
  <c r="DW145" i="1" s="1"/>
  <c r="BN183" i="1"/>
  <c r="BP145" i="1"/>
  <c r="BW145" i="1" s="1"/>
  <c r="BV231" i="1"/>
  <c r="BV229" i="1"/>
  <c r="BV206" i="1"/>
  <c r="BV277" i="1"/>
  <c r="CO218" i="1"/>
  <c r="BN285" i="1"/>
  <c r="BV285" i="1" s="1"/>
  <c r="BV232" i="1"/>
  <c r="AC94" i="6" s="1"/>
  <c r="BV230" i="1"/>
  <c r="BN278" i="1"/>
  <c r="BV278" i="1" s="1"/>
  <c r="BV225" i="1"/>
  <c r="V94" i="6" s="1"/>
  <c r="BN261" i="1"/>
  <c r="BV261" i="1" s="1"/>
  <c r="BV208" i="1"/>
  <c r="BN288" i="1"/>
  <c r="BV288" i="1" s="1"/>
  <c r="BV235" i="1"/>
  <c r="BV238" i="1"/>
  <c r="BV211" i="1"/>
  <c r="BV210" i="1"/>
  <c r="BV223" i="1"/>
  <c r="T94" i="6" s="1"/>
  <c r="BN269" i="1"/>
  <c r="BV269" i="1" s="1"/>
  <c r="BV216" i="1"/>
  <c r="BN279" i="1"/>
  <c r="BV279" i="1" s="1"/>
  <c r="BV226" i="1"/>
  <c r="BN286" i="1"/>
  <c r="BV286" i="1" s="1"/>
  <c r="BV233" i="1"/>
  <c r="DE145" i="1"/>
  <c r="DC183" i="1"/>
  <c r="DE154" i="1"/>
  <c r="DE156" i="1"/>
  <c r="DE157" i="1"/>
  <c r="DE155" i="1"/>
  <c r="AT145" i="1"/>
  <c r="AW145" i="1" s="1"/>
  <c r="AT154" i="1"/>
  <c r="AW154" i="1" s="1"/>
  <c r="AT155" i="1"/>
  <c r="AW155" i="1" s="1"/>
  <c r="AT158" i="1"/>
  <c r="AW158" i="1" s="1"/>
  <c r="AT156" i="1"/>
  <c r="AW156" i="1" s="1"/>
  <c r="AT159" i="1"/>
  <c r="AW159" i="1" s="1"/>
  <c r="AT157" i="1"/>
  <c r="AW157" i="1" s="1"/>
  <c r="BV212" i="1"/>
  <c r="BV227" i="1"/>
  <c r="X94" i="6" s="1"/>
  <c r="BN270" i="1"/>
  <c r="BV270" i="1" s="1"/>
  <c r="BV217" i="1"/>
  <c r="N94" i="6" s="1"/>
  <c r="BV224" i="1"/>
  <c r="BN272" i="1"/>
  <c r="BV272" i="1" s="1"/>
  <c r="BV219" i="1"/>
  <c r="BN281" i="1"/>
  <c r="BV281" i="1" s="1"/>
  <c r="BV228" i="1"/>
  <c r="Y94" i="6" s="1"/>
  <c r="BV242" i="1"/>
  <c r="BN293" i="1"/>
  <c r="BV293" i="1" s="1"/>
  <c r="BV240" i="1"/>
  <c r="BN273" i="1"/>
  <c r="BV273" i="1" s="1"/>
  <c r="BV220" i="1"/>
  <c r="BE145" i="1"/>
  <c r="BC183" i="1"/>
  <c r="BE156" i="1"/>
  <c r="BL156" i="1" s="1"/>
  <c r="BE154" i="1"/>
  <c r="BE155" i="1"/>
  <c r="BL155" i="1" s="1"/>
  <c r="BE158" i="1"/>
  <c r="BL158" i="1" s="1"/>
  <c r="BE160" i="1"/>
  <c r="BE157" i="1"/>
  <c r="BL157" i="1" s="1"/>
  <c r="BE161" i="1"/>
  <c r="BE162" i="1"/>
  <c r="BE159" i="1"/>
  <c r="BL159" i="1" s="1"/>
  <c r="BE163" i="1"/>
  <c r="BE164" i="1"/>
  <c r="BE166" i="1"/>
  <c r="BE165" i="1"/>
  <c r="BE169" i="1"/>
  <c r="BE167" i="1"/>
  <c r="BE170" i="1"/>
  <c r="BE168" i="1"/>
  <c r="BN294" i="1"/>
  <c r="BV294" i="1" s="1"/>
  <c r="BV241" i="1"/>
  <c r="BV237" i="1"/>
  <c r="BN287" i="1"/>
  <c r="BV287" i="1" s="1"/>
  <c r="BV234" i="1"/>
  <c r="BN260" i="1"/>
  <c r="BV260" i="1" s="1"/>
  <c r="BV207" i="1"/>
  <c r="BN274" i="1"/>
  <c r="BV274" i="1" s="1"/>
  <c r="BV221" i="1"/>
  <c r="BV264" i="1"/>
  <c r="BV291" i="1"/>
  <c r="BN275" i="1"/>
  <c r="BV275" i="1" s="1"/>
  <c r="BV222" i="1"/>
  <c r="BN271" i="1"/>
  <c r="BV271" i="1" s="1"/>
  <c r="BV218" i="1"/>
  <c r="BN289" i="1"/>
  <c r="BV289" i="1" s="1"/>
  <c r="BV236" i="1"/>
  <c r="AG94" i="6" s="1"/>
  <c r="BN266" i="1"/>
  <c r="BV266" i="1" s="1"/>
  <c r="BV213" i="1"/>
  <c r="BW81" i="1"/>
  <c r="BW119" i="1" s="1"/>
  <c r="BP119" i="1"/>
  <c r="AY293" i="1"/>
  <c r="BK293" i="1" s="1"/>
  <c r="AY285" i="1"/>
  <c r="BK285" i="1" s="1"/>
  <c r="AY272" i="1"/>
  <c r="BK272" i="1" s="1"/>
  <c r="AY288" i="1"/>
  <c r="BK288" i="1" s="1"/>
  <c r="AY282" i="1"/>
  <c r="BK282" i="1" s="1"/>
  <c r="AY292" i="1"/>
  <c r="BK292" i="1" s="1"/>
  <c r="AY268" i="1"/>
  <c r="BK268" i="1" s="1"/>
  <c r="AY269" i="1"/>
  <c r="BK269" i="1" s="1"/>
  <c r="AY291" i="1"/>
  <c r="BK291" i="1" s="1"/>
  <c r="AY273" i="1"/>
  <c r="BK273" i="1" s="1"/>
  <c r="AY277" i="1"/>
  <c r="BK277" i="1" s="1"/>
  <c r="AY294" i="1"/>
  <c r="BK294" i="1" s="1"/>
  <c r="AY264" i="1"/>
  <c r="BK264" i="1" s="1"/>
  <c r="AY267" i="1"/>
  <c r="BK267" i="1" s="1"/>
  <c r="AY261" i="1"/>
  <c r="BK261" i="1" s="1"/>
  <c r="AY276" i="1"/>
  <c r="BK276" i="1" s="1"/>
  <c r="AY281" i="1"/>
  <c r="BK281" i="1" s="1"/>
  <c r="AY262" i="1"/>
  <c r="BK262" i="1" s="1"/>
  <c r="AY280" i="1"/>
  <c r="BK280" i="1" s="1"/>
  <c r="AY284" i="1"/>
  <c r="BK284" i="1" s="1"/>
  <c r="AY263" i="1"/>
  <c r="BK263" i="1" s="1"/>
  <c r="AY289" i="1"/>
  <c r="BK289" i="1" s="1"/>
  <c r="AY270" i="1"/>
  <c r="BK270" i="1" s="1"/>
  <c r="CO234" i="1"/>
  <c r="AY260" i="1"/>
  <c r="AY295" i="1"/>
  <c r="BK295" i="1" s="1"/>
  <c r="AY259" i="1"/>
  <c r="BK259" i="1" s="1"/>
  <c r="CO227" i="1"/>
  <c r="AY265" i="1"/>
  <c r="BK265" i="1" s="1"/>
  <c r="AY279" i="1"/>
  <c r="BK279" i="1" s="1"/>
  <c r="AY286" i="1"/>
  <c r="BK286" i="1" s="1"/>
  <c r="AY290" i="1"/>
  <c r="BK290" i="1" s="1"/>
  <c r="AY266" i="1"/>
  <c r="BK266" i="1" s="1"/>
  <c r="AH96" i="6"/>
  <c r="AL98" i="6"/>
  <c r="CK290" i="1"/>
  <c r="CO290" i="1" s="1"/>
  <c r="X96" i="6"/>
  <c r="CI215" i="1"/>
  <c r="CG244" i="1"/>
  <c r="CG266" i="1"/>
  <c r="CO266" i="1" s="1"/>
  <c r="AA96" i="6"/>
  <c r="CO239" i="1"/>
  <c r="CO223" i="1"/>
  <c r="CO217" i="1"/>
  <c r="CO219" i="1"/>
  <c r="CO209" i="1"/>
  <c r="CO236" i="1"/>
  <c r="CO221" i="1"/>
  <c r="CG272" i="1"/>
  <c r="CO272" i="1" s="1"/>
  <c r="CO220" i="1"/>
  <c r="CO212" i="1"/>
  <c r="CO237" i="1"/>
  <c r="CK265" i="1"/>
  <c r="CO265" i="1" s="1"/>
  <c r="CO210" i="1"/>
  <c r="CO242" i="1"/>
  <c r="DA215" i="1"/>
  <c r="AF99" i="6"/>
  <c r="Y99" i="6"/>
  <c r="P99" i="6"/>
  <c r="W99" i="6"/>
  <c r="AA99" i="6"/>
  <c r="S99" i="6"/>
  <c r="AB99" i="6"/>
  <c r="C99" i="6"/>
  <c r="X99" i="6"/>
  <c r="G99" i="6"/>
  <c r="O99" i="6"/>
  <c r="H99" i="6"/>
  <c r="AC99" i="6"/>
  <c r="D99" i="6"/>
  <c r="T99" i="6"/>
  <c r="V99" i="6"/>
  <c r="L99" i="6"/>
  <c r="Z99" i="6"/>
  <c r="Q99" i="6"/>
  <c r="R99" i="6"/>
  <c r="I99" i="6"/>
  <c r="AG99" i="6"/>
  <c r="M99" i="6"/>
  <c r="J99" i="6"/>
  <c r="AH99" i="6"/>
  <c r="U99" i="6"/>
  <c r="K99" i="6"/>
  <c r="F99" i="6"/>
  <c r="AD99" i="6"/>
  <c r="E99" i="6"/>
  <c r="N99" i="6"/>
  <c r="AE99" i="6"/>
  <c r="AJ99" i="6"/>
  <c r="AI99" i="6"/>
  <c r="AK99" i="6"/>
  <c r="AL99" i="6"/>
  <c r="AM99" i="6"/>
  <c r="DA206" i="1"/>
  <c r="CK291" i="1"/>
  <c r="CO291" i="1" s="1"/>
  <c r="CC285" i="1"/>
  <c r="CC263" i="1"/>
  <c r="CO263" i="1" s="1"/>
  <c r="BN280" i="1"/>
  <c r="BV280" i="1" s="1"/>
  <c r="EB108" i="1"/>
  <c r="C35" i="9" s="1"/>
  <c r="CK281" i="1"/>
  <c r="CO281" i="1" s="1"/>
  <c r="CO261" i="1"/>
  <c r="CK262" i="1"/>
  <c r="CO262" i="1" s="1"/>
  <c r="AB98" i="6"/>
  <c r="AF98" i="6"/>
  <c r="L98" i="6"/>
  <c r="AK98" i="6"/>
  <c r="CO293" i="1"/>
  <c r="CK279" i="1"/>
  <c r="CO279" i="1" s="1"/>
  <c r="CO274" i="1"/>
  <c r="N98" i="6"/>
  <c r="CO275" i="1"/>
  <c r="AG98" i="6"/>
  <c r="CO222" i="1"/>
  <c r="CO226" i="1"/>
  <c r="CO260" i="1"/>
  <c r="CK289" i="1"/>
  <c r="CO289" i="1" s="1"/>
  <c r="CO215" i="1"/>
  <c r="CO214" i="1"/>
  <c r="CO206" i="1"/>
  <c r="AJ98" i="6"/>
  <c r="AI98" i="6"/>
  <c r="CK287" i="1"/>
  <c r="CO287" i="1" s="1"/>
  <c r="CO282" i="1"/>
  <c r="CK270" i="1"/>
  <c r="CO270" i="1" s="1"/>
  <c r="CO208" i="1"/>
  <c r="CK292" i="1"/>
  <c r="CO292" i="1" s="1"/>
  <c r="CO241" i="1"/>
  <c r="CO278" i="1"/>
  <c r="CC244" i="1"/>
  <c r="CC271" i="1"/>
  <c r="CO271" i="1" s="1"/>
  <c r="CC259" i="1"/>
  <c r="CO259" i="1" s="1"/>
  <c r="CC276" i="1"/>
  <c r="CO276" i="1" s="1"/>
  <c r="CC294" i="1"/>
  <c r="CO294" i="1" s="1"/>
  <c r="T96" i="6"/>
  <c r="BN290" i="1"/>
  <c r="BV290" i="1" s="1"/>
  <c r="BN267" i="1"/>
  <c r="BV267" i="1" s="1"/>
  <c r="BN268" i="1"/>
  <c r="BV268" i="1" s="1"/>
  <c r="EB109" i="1"/>
  <c r="C36" i="9" s="1"/>
  <c r="CO224" i="1"/>
  <c r="CO230" i="1"/>
  <c r="BN283" i="1"/>
  <c r="BV283" i="1" s="1"/>
  <c r="CO231" i="1"/>
  <c r="CO211" i="1"/>
  <c r="CO213" i="1"/>
  <c r="BN263" i="1"/>
  <c r="BV263" i="1" s="1"/>
  <c r="CK269" i="1"/>
  <c r="CO269" i="1" s="1"/>
  <c r="CO268" i="1"/>
  <c r="Q94" i="6"/>
  <c r="CO207" i="1"/>
  <c r="CO284" i="1"/>
  <c r="BN265" i="1"/>
  <c r="BV265" i="1" s="1"/>
  <c r="CC277" i="1"/>
  <c r="CO277" i="1" s="1"/>
  <c r="CC280" i="1"/>
  <c r="CO280" i="1" s="1"/>
  <c r="L96" i="6"/>
  <c r="CO216" i="1"/>
  <c r="CO235" i="1"/>
  <c r="CO288" i="1"/>
  <c r="CK283" i="1"/>
  <c r="CO228" i="1"/>
  <c r="CO233" i="1"/>
  <c r="BN295" i="1"/>
  <c r="BV295" i="1" s="1"/>
  <c r="BN282" i="1"/>
  <c r="BV282" i="1" s="1"/>
  <c r="CO286" i="1"/>
  <c r="CO273" i="1"/>
  <c r="BN276" i="1"/>
  <c r="BV276" i="1" s="1"/>
  <c r="CO267" i="1"/>
  <c r="CO225" i="1"/>
  <c r="CO229" i="1"/>
  <c r="CO232" i="1"/>
  <c r="CO240" i="1"/>
  <c r="CP81" i="1"/>
  <c r="DE119" i="1"/>
  <c r="AH119" i="1"/>
  <c r="S119" i="1"/>
  <c r="AD119" i="1"/>
  <c r="CP242" i="1"/>
  <c r="CP241" i="1"/>
  <c r="AN68" i="6"/>
  <c r="AQ68" i="6" s="1"/>
  <c r="Z119" i="1"/>
  <c r="CA119" i="1"/>
  <c r="AN69" i="6"/>
  <c r="AQ69" i="6" s="1"/>
  <c r="AM98" i="6"/>
  <c r="AY244" i="1"/>
  <c r="BY244" i="1"/>
  <c r="CE119" i="1"/>
  <c r="BA119" i="1"/>
  <c r="CK244" i="1"/>
  <c r="CK264" i="1"/>
  <c r="CO264" i="1" s="1"/>
  <c r="BC244" i="1"/>
  <c r="CK285" i="1"/>
  <c r="CK295" i="1"/>
  <c r="CM295" i="1" s="1"/>
  <c r="BN259" i="1"/>
  <c r="BN292" i="1"/>
  <c r="BV292" i="1" s="1"/>
  <c r="AE98" i="6"/>
  <c r="BN244" i="1"/>
  <c r="U98" i="6"/>
  <c r="BN284" i="1"/>
  <c r="BV284" i="1" s="1"/>
  <c r="I101" i="6"/>
  <c r="DC265" i="1"/>
  <c r="DC285" i="1"/>
  <c r="AC101" i="6"/>
  <c r="M101" i="6"/>
  <c r="DC244" i="1"/>
  <c r="M105" i="6"/>
  <c r="DS269" i="1"/>
  <c r="AL105" i="6"/>
  <c r="DS294" i="1"/>
  <c r="D105" i="6"/>
  <c r="DS260" i="1"/>
  <c r="N105" i="6"/>
  <c r="DS270" i="1"/>
  <c r="T102" i="6"/>
  <c r="DG276" i="1"/>
  <c r="AJ102" i="6"/>
  <c r="DG292" i="1"/>
  <c r="D102" i="6"/>
  <c r="DG260" i="1"/>
  <c r="X102" i="6"/>
  <c r="DG280" i="1"/>
  <c r="DC284" i="1"/>
  <c r="AB101" i="6"/>
  <c r="N101" i="6"/>
  <c r="DC270" i="1"/>
  <c r="X105" i="6"/>
  <c r="DS280" i="1"/>
  <c r="AF105" i="6"/>
  <c r="DS288" i="1"/>
  <c r="Y105" i="6"/>
  <c r="DS281" i="1"/>
  <c r="E105" i="6"/>
  <c r="DS261" i="1"/>
  <c r="AM102" i="6"/>
  <c r="DG295" i="1"/>
  <c r="AF102" i="6"/>
  <c r="DG288" i="1"/>
  <c r="Q102" i="6"/>
  <c r="DG273" i="1"/>
  <c r="AG102" i="6"/>
  <c r="DG289" i="1"/>
  <c r="O102" i="6"/>
  <c r="DG271" i="1"/>
  <c r="DC259" i="1"/>
  <c r="DC280" i="1"/>
  <c r="X101" i="6"/>
  <c r="DC273" i="1"/>
  <c r="Q101" i="6"/>
  <c r="AA101" i="6"/>
  <c r="DC283" i="1"/>
  <c r="AB105" i="6"/>
  <c r="DS284" i="1"/>
  <c r="L105" i="6"/>
  <c r="DS268" i="1"/>
  <c r="T105" i="6"/>
  <c r="DS276" i="1"/>
  <c r="AA105" i="6"/>
  <c r="DS283" i="1"/>
  <c r="AH105" i="6"/>
  <c r="DS290" i="1"/>
  <c r="G102" i="6"/>
  <c r="DG263" i="1"/>
  <c r="C102" i="6"/>
  <c r="DG259" i="1"/>
  <c r="K102" i="6"/>
  <c r="DG267" i="1"/>
  <c r="AA102" i="6"/>
  <c r="DG283" i="1"/>
  <c r="DC267" i="1"/>
  <c r="K101" i="6"/>
  <c r="DC275" i="1"/>
  <c r="S101" i="6"/>
  <c r="DC276" i="1"/>
  <c r="T101" i="6"/>
  <c r="DC282" i="1"/>
  <c r="Z101" i="6"/>
  <c r="DC262" i="1"/>
  <c r="F101" i="6"/>
  <c r="AE105" i="6"/>
  <c r="DS287" i="1"/>
  <c r="O105" i="6"/>
  <c r="DS271" i="1"/>
  <c r="W105" i="6"/>
  <c r="DS279" i="1"/>
  <c r="AD105" i="6"/>
  <c r="DS286" i="1"/>
  <c r="AE102" i="6"/>
  <c r="DG287" i="1"/>
  <c r="Z102" i="6"/>
  <c r="DG282" i="1"/>
  <c r="Y101" i="6"/>
  <c r="DC281" i="1"/>
  <c r="DC272" i="1"/>
  <c r="P101" i="6"/>
  <c r="P105" i="6"/>
  <c r="DS272" i="1"/>
  <c r="AG105" i="6"/>
  <c r="DS289" i="1"/>
  <c r="U105" i="6"/>
  <c r="DS277" i="1"/>
  <c r="E102" i="6"/>
  <c r="DG261" i="1"/>
  <c r="U102" i="6"/>
  <c r="DG277" i="1"/>
  <c r="AK102" i="6"/>
  <c r="DG293" i="1"/>
  <c r="N102" i="6"/>
  <c r="DG270" i="1"/>
  <c r="E101" i="6"/>
  <c r="DC261" i="1"/>
  <c r="DC291" i="1"/>
  <c r="AI101" i="6"/>
  <c r="AJ101" i="6"/>
  <c r="DC292" i="1"/>
  <c r="O101" i="6"/>
  <c r="DC271" i="1"/>
  <c r="AG101" i="6"/>
  <c r="DC289" i="1"/>
  <c r="G105" i="6"/>
  <c r="DS263" i="1"/>
  <c r="H105" i="6"/>
  <c r="DS264" i="1"/>
  <c r="F105" i="6"/>
  <c r="DS262" i="1"/>
  <c r="Q105" i="6"/>
  <c r="DS273" i="1"/>
  <c r="AD102" i="6"/>
  <c r="DG286" i="1"/>
  <c r="P102" i="6"/>
  <c r="DG272" i="1"/>
  <c r="H102" i="6"/>
  <c r="DG264" i="1"/>
  <c r="BN262" i="1"/>
  <c r="BV262" i="1" s="1"/>
  <c r="DC288" i="1"/>
  <c r="AF101" i="6"/>
  <c r="DC277" i="1"/>
  <c r="U101" i="6"/>
  <c r="DC286" i="1"/>
  <c r="AD101" i="6"/>
  <c r="G101" i="6"/>
  <c r="DC263" i="1"/>
  <c r="AK101" i="6"/>
  <c r="DC293" i="1"/>
  <c r="R105" i="6"/>
  <c r="DS274" i="1"/>
  <c r="AI105" i="6"/>
  <c r="DS291" i="1"/>
  <c r="J105" i="6"/>
  <c r="DS266" i="1"/>
  <c r="AJ105" i="6"/>
  <c r="DS292" i="1"/>
  <c r="W102" i="6"/>
  <c r="DG279" i="1"/>
  <c r="I102" i="6"/>
  <c r="DG265" i="1"/>
  <c r="Y102" i="6"/>
  <c r="DG281" i="1"/>
  <c r="AM95" i="6"/>
  <c r="W101" i="6"/>
  <c r="DC279" i="1"/>
  <c r="AL101" i="6"/>
  <c r="DC294" i="1"/>
  <c r="DC264" i="1"/>
  <c r="H101" i="6"/>
  <c r="AE101" i="6"/>
  <c r="DC287" i="1"/>
  <c r="I105" i="6"/>
  <c r="DS265" i="1"/>
  <c r="Z105" i="6"/>
  <c r="DS282" i="1"/>
  <c r="C105" i="6"/>
  <c r="DS259" i="1"/>
  <c r="S105" i="6"/>
  <c r="DS275" i="1"/>
  <c r="DG244" i="1"/>
  <c r="R102" i="6"/>
  <c r="DG274" i="1"/>
  <c r="AH102" i="6"/>
  <c r="DG290" i="1"/>
  <c r="AL102" i="6"/>
  <c r="DG294" i="1"/>
  <c r="S102" i="6"/>
  <c r="DG275" i="1"/>
  <c r="AK95" i="6"/>
  <c r="DC266" i="1"/>
  <c r="J101" i="6"/>
  <c r="DC260" i="1"/>
  <c r="D101" i="6"/>
  <c r="L101" i="6"/>
  <c r="DC268" i="1"/>
  <c r="DC295" i="1"/>
  <c r="AM101" i="6"/>
  <c r="AK105" i="6"/>
  <c r="DS293" i="1"/>
  <c r="AC105" i="6"/>
  <c r="DS285" i="1"/>
  <c r="AI102" i="6"/>
  <c r="DG291" i="1"/>
  <c r="AB102" i="6"/>
  <c r="DG284" i="1"/>
  <c r="J102" i="6"/>
  <c r="DG266" i="1"/>
  <c r="V101" i="6"/>
  <c r="DC278" i="1"/>
  <c r="DC290" i="1"/>
  <c r="AH101" i="6"/>
  <c r="R101" i="6"/>
  <c r="DC274" i="1"/>
  <c r="V105" i="6"/>
  <c r="DS278" i="1"/>
  <c r="AM105" i="6"/>
  <c r="DS295" i="1"/>
  <c r="DS244" i="1"/>
  <c r="K105" i="6"/>
  <c r="DS267" i="1"/>
  <c r="M102" i="6"/>
  <c r="DG269" i="1"/>
  <c r="AC102" i="6"/>
  <c r="DG285" i="1"/>
  <c r="L102" i="6"/>
  <c r="DG268" i="1"/>
  <c r="F102" i="6"/>
  <c r="DG262" i="1"/>
  <c r="V102" i="6"/>
  <c r="DG278" i="1"/>
  <c r="AD94" i="6"/>
  <c r="O94" i="6"/>
  <c r="CZ119" i="1"/>
  <c r="CO119" i="1"/>
  <c r="CT119" i="1"/>
  <c r="BI268" i="1"/>
  <c r="V85" i="1"/>
  <c r="V84" i="1"/>
  <c r="V83" i="1"/>
  <c r="O119" i="1"/>
  <c r="V82" i="1"/>
  <c r="AW81" i="1"/>
  <c r="V81" i="1"/>
  <c r="AW94" i="1"/>
  <c r="AW95" i="1"/>
  <c r="AW92" i="1"/>
  <c r="AW93" i="1"/>
  <c r="AW91" i="1"/>
  <c r="V49" i="1"/>
  <c r="AW90" i="1"/>
  <c r="BT268" i="1"/>
  <c r="BG260" i="1"/>
  <c r="BG297" i="1" s="1"/>
  <c r="BG244" i="1"/>
  <c r="BR259" i="1"/>
  <c r="BR297" i="1" s="1"/>
  <c r="BR244" i="1"/>
  <c r="CX268" i="1"/>
  <c r="DA268" i="1" s="1"/>
  <c r="CX259" i="1"/>
  <c r="DA259" i="1" s="1"/>
  <c r="CV297" i="1"/>
  <c r="AB94" i="6"/>
  <c r="M97" i="6"/>
  <c r="N97" i="6"/>
  <c r="AK97" i="6"/>
  <c r="O97" i="6"/>
  <c r="AF97" i="6"/>
  <c r="AM97" i="6"/>
  <c r="V97" i="6"/>
  <c r="Q97" i="6"/>
  <c r="Z97" i="6"/>
  <c r="AH97" i="6"/>
  <c r="AD97" i="6"/>
  <c r="S97" i="6"/>
  <c r="P97" i="6"/>
  <c r="W97" i="6"/>
  <c r="AL97" i="6"/>
  <c r="X97" i="6"/>
  <c r="AI97" i="6"/>
  <c r="AG97" i="6"/>
  <c r="AB97" i="6"/>
  <c r="Y97" i="6"/>
  <c r="AJ97" i="6"/>
  <c r="AA97" i="6"/>
  <c r="R97" i="6"/>
  <c r="AC97" i="6"/>
  <c r="T97" i="6"/>
  <c r="U97" i="6"/>
  <c r="AE97" i="6"/>
  <c r="AG95" i="6"/>
  <c r="Z95" i="6"/>
  <c r="AB95" i="6"/>
  <c r="AD95" i="6"/>
  <c r="P95" i="6"/>
  <c r="Y95" i="6"/>
  <c r="AC95" i="6"/>
  <c r="AH95" i="6"/>
  <c r="AJ95" i="6"/>
  <c r="X95" i="6"/>
  <c r="AF95" i="6"/>
  <c r="M95" i="6"/>
  <c r="R95" i="6"/>
  <c r="AI94" i="6"/>
  <c r="CE295" i="1"/>
  <c r="CE271" i="1"/>
  <c r="CE281" i="1"/>
  <c r="CE272" i="1"/>
  <c r="CE278" i="1"/>
  <c r="CM294" i="1"/>
  <c r="CE288" i="1"/>
  <c r="CE289" i="1"/>
  <c r="CE268" i="1"/>
  <c r="CE276" i="1"/>
  <c r="CE277" i="1"/>
  <c r="CE270" i="1"/>
  <c r="CE290" i="1"/>
  <c r="CE282" i="1"/>
  <c r="CE292" i="1"/>
  <c r="CE285" i="1"/>
  <c r="CE293" i="1"/>
  <c r="CE275" i="1"/>
  <c r="AJ94" i="6"/>
  <c r="CE291" i="1"/>
  <c r="CE286" i="1"/>
  <c r="CE294" i="1"/>
  <c r="CE269" i="1"/>
  <c r="CE287" i="1"/>
  <c r="CE284" i="1"/>
  <c r="CE274" i="1"/>
  <c r="CE279" i="1"/>
  <c r="CE273" i="1"/>
  <c r="CE280" i="1"/>
  <c r="CE283" i="1"/>
  <c r="BE268" i="1"/>
  <c r="BY297" i="1"/>
  <c r="BC297" i="1"/>
  <c r="AI116" i="6"/>
  <c r="DW206" i="1" l="1"/>
  <c r="DW210" i="1"/>
  <c r="DW208" i="1"/>
  <c r="DW209" i="1"/>
  <c r="DW216" i="1"/>
  <c r="DW213" i="1"/>
  <c r="DW207" i="1"/>
  <c r="DW212" i="1"/>
  <c r="DW214" i="1"/>
  <c r="DW215" i="1"/>
  <c r="DU268" i="1"/>
  <c r="DU259" i="1"/>
  <c r="DM268" i="1"/>
  <c r="DM259" i="1"/>
  <c r="DI259" i="1"/>
  <c r="DI268" i="1"/>
  <c r="DX159" i="1"/>
  <c r="EB159" i="1" s="1"/>
  <c r="DX156" i="1"/>
  <c r="EB156" i="1" s="1"/>
  <c r="L19" i="9" s="1"/>
  <c r="CI268" i="1"/>
  <c r="DX90" i="1"/>
  <c r="EB90" i="1" s="1"/>
  <c r="DX81" i="1"/>
  <c r="EB81" i="1" s="1"/>
  <c r="DW278" i="1"/>
  <c r="DW224" i="1"/>
  <c r="DW227" i="1"/>
  <c r="DX157" i="1"/>
  <c r="EB157" i="1" s="1"/>
  <c r="L20" i="9" s="1"/>
  <c r="BL154" i="1"/>
  <c r="DX154" i="1" s="1"/>
  <c r="EB154" i="1" s="1"/>
  <c r="L17" i="9" s="1"/>
  <c r="DW277" i="1"/>
  <c r="DW233" i="1"/>
  <c r="DW238" i="1"/>
  <c r="AQ102" i="6"/>
  <c r="DW280" i="1"/>
  <c r="DW288" i="1"/>
  <c r="EA288" i="1" s="1"/>
  <c r="DW232" i="1"/>
  <c r="DW241" i="1"/>
  <c r="DW219" i="1"/>
  <c r="DW239" i="1"/>
  <c r="AQ99" i="6"/>
  <c r="DW262" i="1"/>
  <c r="DW273" i="1"/>
  <c r="DW272" i="1"/>
  <c r="DX158" i="1"/>
  <c r="EB158" i="1" s="1"/>
  <c r="L21" i="9" s="1"/>
  <c r="DW240" i="1"/>
  <c r="DW220" i="1"/>
  <c r="DW266" i="1"/>
  <c r="DW281" i="1"/>
  <c r="EA281" i="1" s="1"/>
  <c r="DW291" i="1"/>
  <c r="EA291" i="1" s="1"/>
  <c r="DX155" i="1"/>
  <c r="EB155" i="1" s="1"/>
  <c r="L18" i="9" s="1"/>
  <c r="DW274" i="1"/>
  <c r="DW231" i="1"/>
  <c r="DW217" i="1"/>
  <c r="DW226" i="1"/>
  <c r="DW276" i="1"/>
  <c r="DW269" i="1"/>
  <c r="DW293" i="1"/>
  <c r="EA293" i="1" s="1"/>
  <c r="DW271" i="1"/>
  <c r="DW228" i="1"/>
  <c r="DW287" i="1"/>
  <c r="EA287" i="1" s="1"/>
  <c r="DW290" i="1"/>
  <c r="EA290" i="1" s="1"/>
  <c r="DW270" i="1"/>
  <c r="DW261" i="1"/>
  <c r="DW230" i="1"/>
  <c r="DW236" i="1"/>
  <c r="AQ103" i="6"/>
  <c r="DW286" i="1"/>
  <c r="EA286" i="1" s="1"/>
  <c r="DW289" i="1"/>
  <c r="EA289" i="1" s="1"/>
  <c r="DW267" i="1"/>
  <c r="DW268" i="1"/>
  <c r="AQ105" i="6"/>
  <c r="DW264" i="1"/>
  <c r="DW292" i="1"/>
  <c r="EA292" i="1" s="1"/>
  <c r="DW242" i="1"/>
  <c r="DW235" i="1"/>
  <c r="DW222" i="1"/>
  <c r="DW275" i="1"/>
  <c r="DK297" i="1"/>
  <c r="DW279" i="1"/>
  <c r="DW263" i="1"/>
  <c r="DW225" i="1"/>
  <c r="DW221" i="1"/>
  <c r="AQ101" i="6"/>
  <c r="DW265" i="1"/>
  <c r="DW284" i="1"/>
  <c r="EA284" i="1" s="1"/>
  <c r="DW294" i="1"/>
  <c r="EA294" i="1" s="1"/>
  <c r="DW282" i="1"/>
  <c r="EA282" i="1" s="1"/>
  <c r="DW218" i="1"/>
  <c r="DW237" i="1"/>
  <c r="DW229" i="1"/>
  <c r="DW234" i="1"/>
  <c r="DW223" i="1"/>
  <c r="W94" i="6"/>
  <c r="R94" i="6"/>
  <c r="AE94" i="6"/>
  <c r="S94" i="6"/>
  <c r="AF94" i="6"/>
  <c r="U94" i="6"/>
  <c r="M94" i="6"/>
  <c r="BA268" i="1"/>
  <c r="BL268" i="1" s="1"/>
  <c r="P94" i="6"/>
  <c r="AL94" i="6"/>
  <c r="AM94" i="6"/>
  <c r="AH94" i="6"/>
  <c r="Z94" i="6"/>
  <c r="AA94" i="6"/>
  <c r="EA119" i="1"/>
  <c r="BL167" i="1"/>
  <c r="DX167" i="1" s="1"/>
  <c r="BL160" i="1"/>
  <c r="DX160" i="1" s="1"/>
  <c r="BL169" i="1"/>
  <c r="DX169" i="1" s="1"/>
  <c r="BL165" i="1"/>
  <c r="DX165" i="1" s="1"/>
  <c r="BL166" i="1"/>
  <c r="DX166" i="1" s="1"/>
  <c r="BL164" i="1"/>
  <c r="DX164" i="1" s="1"/>
  <c r="BL163" i="1"/>
  <c r="DX163" i="1" s="1"/>
  <c r="BL145" i="1"/>
  <c r="DX145" i="1" s="1"/>
  <c r="BK260" i="1"/>
  <c r="DW260" i="1" s="1"/>
  <c r="BL162" i="1"/>
  <c r="DX162" i="1" s="1"/>
  <c r="BL168" i="1"/>
  <c r="DX168" i="1" s="1"/>
  <c r="BL161" i="1"/>
  <c r="DX161" i="1" s="1"/>
  <c r="BL170" i="1"/>
  <c r="DX170" i="1" s="1"/>
  <c r="BV183" i="1"/>
  <c r="BV259" i="1"/>
  <c r="DW259" i="1" s="1"/>
  <c r="CO285" i="1"/>
  <c r="DW285" i="1" s="1"/>
  <c r="EA285" i="1" s="1"/>
  <c r="AY297" i="1"/>
  <c r="CG297" i="1"/>
  <c r="CM268" i="1"/>
  <c r="CC297" i="1"/>
  <c r="CO244" i="1"/>
  <c r="CP295" i="1"/>
  <c r="CO295" i="1"/>
  <c r="DW295" i="1" s="1"/>
  <c r="EA295" i="1" s="1"/>
  <c r="CO283" i="1"/>
  <c r="DW283" i="1" s="1"/>
  <c r="EA283" i="1" s="1"/>
  <c r="BN297" i="1"/>
  <c r="BP268" i="1"/>
  <c r="BW268" i="1" s="1"/>
  <c r="CK297" i="1"/>
  <c r="DE259" i="1"/>
  <c r="DE268" i="1"/>
  <c r="CP294" i="1"/>
  <c r="AK94" i="6"/>
  <c r="DS297" i="1"/>
  <c r="DG297" i="1"/>
  <c r="DC297" i="1"/>
  <c r="DW119" i="1"/>
  <c r="EE46" i="1"/>
  <c r="C44" i="5" s="1"/>
  <c r="BV244" i="1"/>
  <c r="V119" i="1"/>
  <c r="CZ244" i="1"/>
  <c r="AH116" i="6"/>
  <c r="CP268" i="1" l="1"/>
  <c r="DX268" i="1" s="1"/>
  <c r="EB165" i="1"/>
  <c r="EB170" i="1"/>
  <c r="EB160" i="1"/>
  <c r="L22" i="9" s="1"/>
  <c r="EB162" i="1"/>
  <c r="L25" i="9" s="1"/>
  <c r="EB167" i="1"/>
  <c r="L30" i="9" s="1"/>
  <c r="EB161" i="1"/>
  <c r="EB169" i="1"/>
  <c r="EB164" i="1"/>
  <c r="L27" i="9" s="1"/>
  <c r="EB168" i="1"/>
  <c r="L31" i="9" s="1"/>
  <c r="EB163" i="1"/>
  <c r="L26" i="9" s="1"/>
  <c r="EB166" i="1"/>
  <c r="EB145" i="1"/>
  <c r="EA145" i="1"/>
  <c r="EA183" i="1" s="1"/>
  <c r="DW183" i="1"/>
  <c r="D44" i="5"/>
  <c r="CO297" i="1"/>
  <c r="BV297" i="1"/>
  <c r="CZ297" i="1"/>
  <c r="AG116" i="6"/>
  <c r="L28" i="9" l="1"/>
  <c r="L29" i="9"/>
  <c r="L23" i="9"/>
  <c r="L24" i="9"/>
  <c r="L32" i="9"/>
  <c r="L33" i="9"/>
  <c r="N44" i="9"/>
  <c r="AF116" i="6"/>
  <c r="AE116" i="6" l="1"/>
  <c r="AD116" i="6" l="1"/>
  <c r="AC116" i="6" l="1"/>
  <c r="AB116" i="6" l="1"/>
  <c r="AA116" i="6" l="1"/>
  <c r="Z116" i="6" l="1"/>
  <c r="Y116" i="6" l="1"/>
  <c r="X116" i="6" l="1"/>
  <c r="W116" i="6" l="1"/>
  <c r="V116" i="6" l="1"/>
  <c r="U116" i="6" l="1"/>
  <c r="T116" i="6" l="1"/>
  <c r="S116" i="6" l="1"/>
  <c r="R116" i="6" l="1"/>
  <c r="Q116" i="6" l="1"/>
  <c r="P116" i="6" l="1"/>
  <c r="O116" i="6" l="1"/>
  <c r="N116" i="6" l="1"/>
  <c r="M116" i="6" l="1"/>
  <c r="L116" i="6" l="1"/>
  <c r="K116" i="6" l="1"/>
  <c r="J116" i="6" s="1"/>
  <c r="I116" i="6" s="1"/>
  <c r="H116" i="6" s="1"/>
  <c r="G116" i="6" s="1"/>
  <c r="F116" i="6" s="1"/>
  <c r="E116" i="6" s="1"/>
  <c r="D116" i="6" s="1"/>
  <c r="C116" i="6" s="1"/>
  <c r="AP212" i="1" l="1"/>
  <c r="AO17" i="1"/>
  <c r="AP17" i="1" s="1"/>
  <c r="P17" i="2"/>
  <c r="C268" i="1" l="1"/>
  <c r="C20" i="1"/>
  <c r="AS20" i="1" s="1"/>
  <c r="AT20" i="1" s="1"/>
  <c r="AW20" i="1" s="1"/>
  <c r="DX20" i="1" s="1"/>
  <c r="C215" i="1"/>
  <c r="L71" i="6"/>
  <c r="L73" i="6"/>
  <c r="H17" i="12"/>
  <c r="CE215" i="1" l="1"/>
  <c r="CM215" i="1"/>
  <c r="E17" i="11"/>
  <c r="BT215" i="1"/>
  <c r="BD215" i="1"/>
  <c r="BE215" i="1" s="1"/>
  <c r="AT215" i="1"/>
  <c r="L92" i="6" s="1"/>
  <c r="AL215" i="1"/>
  <c r="AZ215" i="1"/>
  <c r="BA215" i="1" s="1"/>
  <c r="BH215" i="1"/>
  <c r="BI215" i="1" s="1"/>
  <c r="AH215" i="1"/>
  <c r="L74" i="6"/>
  <c r="H19" i="12"/>
  <c r="H18" i="12"/>
  <c r="BL215" i="1" l="1"/>
  <c r="L94" i="6"/>
  <c r="BW215" i="1"/>
  <c r="CP215" i="1"/>
  <c r="L97" i="6"/>
  <c r="L95" i="6"/>
  <c r="AW215" i="1"/>
  <c r="DX215" i="1" l="1"/>
  <c r="H20" i="12"/>
  <c r="H21" i="12" l="1"/>
  <c r="H13" i="12" l="1"/>
  <c r="CA49" i="1" l="1"/>
  <c r="BP49" i="1" l="1"/>
  <c r="H14" i="12" l="1"/>
  <c r="AV49" i="1"/>
  <c r="H16" i="12" l="1"/>
  <c r="H15" i="12"/>
  <c r="AI72" i="6" l="1"/>
  <c r="T72" i="6"/>
  <c r="Y72" i="6"/>
  <c r="O72" i="6"/>
  <c r="R72" i="6"/>
  <c r="N72" i="6"/>
  <c r="AF72" i="6"/>
  <c r="X72" i="6"/>
  <c r="AD72" i="6"/>
  <c r="V72" i="6"/>
  <c r="P72" i="6"/>
  <c r="W72" i="6"/>
  <c r="AK72" i="6"/>
  <c r="Z72" i="6"/>
  <c r="AE72" i="6"/>
  <c r="U72" i="6"/>
  <c r="AH72" i="6"/>
  <c r="L72" i="6"/>
  <c r="AG72" i="6"/>
  <c r="AJ72" i="6"/>
  <c r="AL72" i="6"/>
  <c r="Q72" i="6"/>
  <c r="S72" i="6"/>
  <c r="M72" i="6"/>
  <c r="EA6" i="1" l="1"/>
  <c r="EB6" i="1" s="1"/>
  <c r="EC6" i="1" l="1"/>
  <c r="L86" i="6" l="1"/>
  <c r="AL86" i="6"/>
  <c r="C77" i="6" l="1"/>
  <c r="CI259" i="1"/>
  <c r="C259" i="1" l="1"/>
  <c r="C206" i="1"/>
  <c r="C11" i="1"/>
  <c r="AS11" i="1" s="1"/>
  <c r="AT11" i="1" s="1"/>
  <c r="CL206" i="1"/>
  <c r="BO206" i="1"/>
  <c r="CH206" i="1"/>
  <c r="CI206" i="1" s="1"/>
  <c r="C98" i="6" s="1"/>
  <c r="BZ206" i="1"/>
  <c r="BS206" i="1"/>
  <c r="CD206" i="1"/>
  <c r="AD206" i="1"/>
  <c r="CE11" i="1"/>
  <c r="CP11" i="1" s="1"/>
  <c r="AD259" i="1"/>
  <c r="CA259" i="1"/>
  <c r="BP259" i="1"/>
  <c r="BA259" i="1"/>
  <c r="AH259" i="1"/>
  <c r="BT259" i="1"/>
  <c r="CM259" i="1"/>
  <c r="CE259" i="1"/>
  <c r="S206" i="1"/>
  <c r="C89" i="6" s="1"/>
  <c r="S259" i="1"/>
  <c r="O259" i="1"/>
  <c r="AL259" i="1"/>
  <c r="AP259" i="1"/>
  <c r="BE11" i="1"/>
  <c r="Z206" i="1"/>
  <c r="C91" i="6" s="1"/>
  <c r="BE259" i="1"/>
  <c r="AT259" i="1"/>
  <c r="BI259" i="1"/>
  <c r="O206" i="1"/>
  <c r="C73" i="6"/>
  <c r="BL259" i="1" l="1"/>
  <c r="BW259" i="1"/>
  <c r="CP259" i="1"/>
  <c r="C76" i="6"/>
  <c r="Z259" i="1"/>
  <c r="G10" i="8"/>
  <c r="CE12" i="1"/>
  <c r="CA206" i="1"/>
  <c r="C96" i="6" s="1"/>
  <c r="CE206" i="1"/>
  <c r="CM206" i="1"/>
  <c r="AW259" i="1"/>
  <c r="AP260" i="1"/>
  <c r="V206" i="1"/>
  <c r="C74" i="6"/>
  <c r="BH206" i="1"/>
  <c r="BI206" i="1" s="1"/>
  <c r="AT206" i="1"/>
  <c r="C92" i="6" s="1"/>
  <c r="BD206" i="1"/>
  <c r="BE206" i="1" s="1"/>
  <c r="BT206" i="1"/>
  <c r="C94" i="6" s="1"/>
  <c r="AZ206" i="1"/>
  <c r="BA206" i="1" s="1"/>
  <c r="AP206" i="1"/>
  <c r="AL206" i="1"/>
  <c r="AH206" i="1"/>
  <c r="BP206" i="1"/>
  <c r="D73" i="6"/>
  <c r="C71" i="6"/>
  <c r="AO11" i="1"/>
  <c r="AP11" i="1" s="1"/>
  <c r="AW11" i="1" s="1"/>
  <c r="V259" i="1"/>
  <c r="BL206" i="1" l="1"/>
  <c r="DX259" i="1"/>
  <c r="BW206" i="1"/>
  <c r="CP206" i="1"/>
  <c r="C90" i="6"/>
  <c r="C97" i="6"/>
  <c r="BI11" i="1"/>
  <c r="BL11" i="1" s="1"/>
  <c r="DX11" i="1" s="1"/>
  <c r="D76" i="6"/>
  <c r="CE13" i="1"/>
  <c r="C95" i="6"/>
  <c r="AW206" i="1"/>
  <c r="AO12" i="1"/>
  <c r="AP12" i="1" s="1"/>
  <c r="D71" i="6"/>
  <c r="E73" i="6"/>
  <c r="AP261" i="1"/>
  <c r="AP207" i="1"/>
  <c r="DX206" i="1" l="1"/>
  <c r="D72" i="6"/>
  <c r="E76" i="6"/>
  <c r="CE14" i="1"/>
  <c r="AO13" i="1"/>
  <c r="AP13" i="1" s="1"/>
  <c r="E71" i="6"/>
  <c r="F73" i="6"/>
  <c r="AP262" i="1"/>
  <c r="AP208" i="1"/>
  <c r="BP208" i="1"/>
  <c r="E72" i="6" l="1"/>
  <c r="F76" i="6"/>
  <c r="CE15" i="1"/>
  <c r="AP209" i="1"/>
  <c r="AP263" i="1"/>
  <c r="H10" i="8"/>
  <c r="F71" i="6"/>
  <c r="AO14" i="1"/>
  <c r="AP14" i="1" s="1"/>
  <c r="G73" i="6"/>
  <c r="F72" i="6"/>
  <c r="G76" i="6" l="1"/>
  <c r="CE16" i="1"/>
  <c r="G72" i="6"/>
  <c r="O264" i="1"/>
  <c r="AP264" i="1"/>
  <c r="S264" i="1"/>
  <c r="AO15" i="1"/>
  <c r="AP15" i="1" s="1"/>
  <c r="G71" i="6"/>
  <c r="F8" i="9"/>
  <c r="AP210" i="1"/>
  <c r="O211" i="1"/>
  <c r="S211" i="1"/>
  <c r="H73" i="6"/>
  <c r="H76" i="6" l="1"/>
  <c r="H89" i="6"/>
  <c r="CE17" i="1"/>
  <c r="Z212" i="1"/>
  <c r="I91" i="6" s="1"/>
  <c r="I73" i="6"/>
  <c r="V264" i="1"/>
  <c r="Z265" i="1"/>
  <c r="AP211" i="1"/>
  <c r="AO16" i="1"/>
  <c r="AP16" i="1" s="1"/>
  <c r="H71" i="6"/>
  <c r="H72" i="6"/>
  <c r="V211" i="1"/>
  <c r="I71" i="6"/>
  <c r="I76" i="6" l="1"/>
  <c r="H90" i="6"/>
  <c r="CE18" i="1"/>
  <c r="J73" i="6"/>
  <c r="J71" i="6"/>
  <c r="I72" i="6"/>
  <c r="J76" i="6" l="1"/>
  <c r="CE19" i="1"/>
  <c r="CA213" i="1"/>
  <c r="J96" i="6" s="1"/>
  <c r="J72" i="6"/>
  <c r="CE49" i="1" l="1"/>
  <c r="K76" i="6"/>
  <c r="AN76" i="6" s="1"/>
  <c r="AQ76" i="6" s="1"/>
  <c r="K73" i="6"/>
  <c r="AN73" i="6" s="1"/>
  <c r="AQ73" i="6" s="1"/>
  <c r="K77" i="6"/>
  <c r="K71" i="6"/>
  <c r="K98" i="6"/>
  <c r="CE267" i="1"/>
  <c r="CA214" i="1"/>
  <c r="AN71" i="6" l="1"/>
  <c r="K72" i="6"/>
  <c r="K74" i="6"/>
  <c r="K96" i="6"/>
  <c r="K92" i="6"/>
  <c r="K94" i="6"/>
  <c r="CE214" i="1"/>
  <c r="AQ71" i="6" l="1"/>
  <c r="K95" i="6"/>
  <c r="K97" i="6"/>
  <c r="E8" i="11" l="1"/>
  <c r="C115" i="6" l="1"/>
  <c r="AP244" i="1"/>
  <c r="AP49" i="1" l="1"/>
  <c r="AP297" i="1"/>
  <c r="D74" i="6" l="1"/>
  <c r="D77" i="6"/>
  <c r="D89" i="6"/>
  <c r="D90" i="6"/>
  <c r="D91" i="6"/>
  <c r="D92" i="6"/>
  <c r="D94" i="6"/>
  <c r="D95" i="6"/>
  <c r="D96" i="6"/>
  <c r="D97" i="6"/>
  <c r="D98" i="6"/>
  <c r="E74" i="6"/>
  <c r="E77" i="6"/>
  <c r="E89" i="6"/>
  <c r="E90" i="6"/>
  <c r="E91" i="6"/>
  <c r="E92" i="6"/>
  <c r="E94" i="6"/>
  <c r="E95" i="6"/>
  <c r="E96" i="6"/>
  <c r="E97" i="6"/>
  <c r="E98" i="6"/>
  <c r="F74" i="6"/>
  <c r="F77" i="6"/>
  <c r="F89" i="6"/>
  <c r="F90" i="6"/>
  <c r="F91" i="6"/>
  <c r="F92" i="6"/>
  <c r="F94" i="6"/>
  <c r="F95" i="6"/>
  <c r="F96" i="6"/>
  <c r="F97" i="6"/>
  <c r="F98" i="6"/>
  <c r="G74" i="6"/>
  <c r="G77" i="6"/>
  <c r="G89" i="6"/>
  <c r="G90" i="6"/>
  <c r="G91" i="6"/>
  <c r="G92" i="6"/>
  <c r="G94" i="6"/>
  <c r="G95" i="6"/>
  <c r="G96" i="6"/>
  <c r="G97" i="6"/>
  <c r="G98" i="6"/>
  <c r="H74" i="6"/>
  <c r="H77" i="6"/>
  <c r="H91" i="6"/>
  <c r="H92" i="6"/>
  <c r="H94" i="6"/>
  <c r="H95" i="6"/>
  <c r="H96" i="6"/>
  <c r="H97" i="6"/>
  <c r="H98" i="6"/>
  <c r="I74" i="6"/>
  <c r="I77" i="6"/>
  <c r="I92" i="6"/>
  <c r="I94" i="6"/>
  <c r="I95" i="6"/>
  <c r="I96" i="6"/>
  <c r="I97" i="6"/>
  <c r="I98" i="6"/>
  <c r="J74" i="6"/>
  <c r="J77" i="6"/>
  <c r="J92" i="6"/>
  <c r="J94" i="6"/>
  <c r="J95" i="6"/>
  <c r="J97" i="6"/>
  <c r="J98" i="6"/>
  <c r="K86" i="6"/>
  <c r="M74" i="6"/>
  <c r="M77" i="6"/>
  <c r="M92" i="6"/>
  <c r="N74" i="6"/>
  <c r="N77" i="6"/>
  <c r="N92" i="6"/>
  <c r="N95" i="6"/>
  <c r="O74" i="6"/>
  <c r="O77" i="6"/>
  <c r="O92" i="6"/>
  <c r="O95" i="6"/>
  <c r="P74" i="6"/>
  <c r="P77" i="6"/>
  <c r="P92" i="6"/>
  <c r="Q74" i="6"/>
  <c r="Q77" i="6"/>
  <c r="Q92" i="6"/>
  <c r="Q95" i="6"/>
  <c r="R74" i="6"/>
  <c r="R77" i="6"/>
  <c r="S74" i="6"/>
  <c r="S77" i="6"/>
  <c r="S95" i="6"/>
  <c r="T74" i="6"/>
  <c r="T77" i="6"/>
  <c r="T95" i="6"/>
  <c r="U74" i="6"/>
  <c r="U77" i="6"/>
  <c r="U95" i="6"/>
  <c r="V74" i="6"/>
  <c r="V77" i="6"/>
  <c r="V95" i="6"/>
  <c r="W74" i="6"/>
  <c r="W77" i="6"/>
  <c r="W95" i="6"/>
  <c r="X74" i="6"/>
  <c r="X77" i="6"/>
  <c r="Y74" i="6"/>
  <c r="Y77" i="6"/>
  <c r="Z74" i="6"/>
  <c r="Z77" i="6"/>
  <c r="AA74" i="6"/>
  <c r="AA77" i="6"/>
  <c r="AA95" i="6"/>
  <c r="AB74" i="6"/>
  <c r="AB77" i="6"/>
  <c r="AC74" i="6"/>
  <c r="AC77" i="6"/>
  <c r="AD77" i="6"/>
  <c r="AD86" i="6" s="1"/>
  <c r="AE77" i="6"/>
  <c r="AE86" i="6" s="1"/>
  <c r="AE95" i="6"/>
  <c r="AF77" i="6"/>
  <c r="AF86" i="6" s="1"/>
  <c r="AG77" i="6"/>
  <c r="AG86" i="6" s="1"/>
  <c r="AH77" i="6"/>
  <c r="AH86" i="6" s="1"/>
  <c r="AI77" i="6"/>
  <c r="AI86" i="6" s="1"/>
  <c r="AI95" i="6"/>
  <c r="AJ77" i="6"/>
  <c r="AJ86" i="6" s="1"/>
  <c r="AK77" i="6"/>
  <c r="AK86" i="6" s="1"/>
  <c r="D269" i="1"/>
  <c r="D216" i="1"/>
  <c r="E21" i="1"/>
  <c r="P18" i="2"/>
  <c r="D21" i="1"/>
  <c r="B18" i="2"/>
  <c r="AK21" i="1" l="1"/>
  <c r="AL21" i="1" s="1"/>
  <c r="DL21" i="1"/>
  <c r="DM21" i="1" s="1"/>
  <c r="DP21" i="1"/>
  <c r="DQ21" i="1" s="1"/>
  <c r="AQ96" i="6"/>
  <c r="DL269" i="1"/>
  <c r="DM269" i="1" s="1"/>
  <c r="DP269" i="1"/>
  <c r="DQ269" i="1" s="1"/>
  <c r="AQ95" i="6"/>
  <c r="AQ94" i="6"/>
  <c r="AQ92" i="6"/>
  <c r="AQ97" i="6"/>
  <c r="AQ98" i="6"/>
  <c r="D86" i="6"/>
  <c r="AQ90" i="6"/>
  <c r="CH21" i="1"/>
  <c r="CI21" i="1" s="1"/>
  <c r="DH21" i="1"/>
  <c r="DI21" i="1" s="1"/>
  <c r="DT21" i="1"/>
  <c r="DU21" i="1" s="1"/>
  <c r="DT269" i="1"/>
  <c r="DU269" i="1" s="1"/>
  <c r="DH269" i="1"/>
  <c r="DI269" i="1" s="1"/>
  <c r="DD269" i="1"/>
  <c r="DE269" i="1" s="1"/>
  <c r="B155" i="1"/>
  <c r="B91" i="1"/>
  <c r="P9" i="2"/>
  <c r="E9" i="11" s="1"/>
  <c r="D146" i="1"/>
  <c r="DD146" i="1" s="1"/>
  <c r="DE146" i="1" s="1"/>
  <c r="D82" i="1"/>
  <c r="C9" i="2"/>
  <c r="E9" i="2"/>
  <c r="E86" i="6"/>
  <c r="CS269" i="1"/>
  <c r="CT269" i="1" s="1"/>
  <c r="CW269" i="1"/>
  <c r="CX269" i="1" s="1"/>
  <c r="AS269" i="1"/>
  <c r="AZ269" i="1"/>
  <c r="AG269" i="1"/>
  <c r="CD269" i="1"/>
  <c r="AC269" i="1"/>
  <c r="BS269" i="1"/>
  <c r="BD269" i="1"/>
  <c r="CL269" i="1"/>
  <c r="BO269" i="1"/>
  <c r="CH269" i="1"/>
  <c r="BH269" i="1"/>
  <c r="BZ269" i="1"/>
  <c r="AK269" i="1"/>
  <c r="AK216" i="1"/>
  <c r="AS216" i="1"/>
  <c r="AG216" i="1"/>
  <c r="CL21" i="1"/>
  <c r="CM21" i="1" s="1"/>
  <c r="AQ89" i="6"/>
  <c r="AQ91" i="6"/>
  <c r="W86" i="6"/>
  <c r="F86" i="6"/>
  <c r="H86" i="6"/>
  <c r="G86" i="6"/>
  <c r="S86" i="6"/>
  <c r="U86" i="6"/>
  <c r="O86" i="6"/>
  <c r="X86" i="6"/>
  <c r="V86" i="6"/>
  <c r="AN74" i="6"/>
  <c r="AQ74" i="6" s="1"/>
  <c r="AN77" i="6"/>
  <c r="AQ77" i="6" s="1"/>
  <c r="N86" i="6"/>
  <c r="J86" i="6"/>
  <c r="Z86" i="6"/>
  <c r="T86" i="6"/>
  <c r="P86" i="6"/>
  <c r="Y86" i="6"/>
  <c r="M86" i="6"/>
  <c r="R86" i="6"/>
  <c r="D260" i="1"/>
  <c r="D207" i="1"/>
  <c r="B9" i="2"/>
  <c r="D12" i="1"/>
  <c r="B269" i="1"/>
  <c r="B216" i="1"/>
  <c r="B21" i="1"/>
  <c r="M115" i="6"/>
  <c r="E18" i="11"/>
  <c r="C269" i="1"/>
  <c r="C216" i="1"/>
  <c r="C21" i="1"/>
  <c r="AS21" i="1" s="1"/>
  <c r="AT21" i="1" s="1"/>
  <c r="AW21" i="1" s="1"/>
  <c r="BS21" i="1"/>
  <c r="BT21" i="1" s="1"/>
  <c r="BW21" i="1" s="1"/>
  <c r="CW21" i="1"/>
  <c r="CX21" i="1" s="1"/>
  <c r="DA21" i="1" s="1"/>
  <c r="E216" i="1"/>
  <c r="E269" i="1"/>
  <c r="I86" i="6"/>
  <c r="Q86" i="6"/>
  <c r="DD216" i="1" l="1"/>
  <c r="DE216" i="1" s="1"/>
  <c r="DL216" i="1"/>
  <c r="DM216" i="1" s="1"/>
  <c r="DP216" i="1"/>
  <c r="DQ216" i="1" s="1"/>
  <c r="DL12" i="1"/>
  <c r="DM12" i="1" s="1"/>
  <c r="DH12" i="1"/>
  <c r="DI12" i="1" s="1"/>
  <c r="DL260" i="1"/>
  <c r="DM260" i="1" s="1"/>
  <c r="DP260" i="1"/>
  <c r="DQ260" i="1" s="1"/>
  <c r="DA269" i="1"/>
  <c r="CP21" i="1"/>
  <c r="D115" i="6"/>
  <c r="BH91" i="1"/>
  <c r="BI91" i="1" s="1"/>
  <c r="BD91" i="1"/>
  <c r="BE91" i="1" s="1"/>
  <c r="DT216" i="1"/>
  <c r="DU216" i="1" s="1"/>
  <c r="DH216" i="1"/>
  <c r="DI216" i="1" s="1"/>
  <c r="E146" i="1"/>
  <c r="E82" i="1"/>
  <c r="B146" i="1"/>
  <c r="B82" i="1"/>
  <c r="DH260" i="1"/>
  <c r="DI260" i="1" s="1"/>
  <c r="DD260" i="1"/>
  <c r="DE260" i="1" s="1"/>
  <c r="DT260" i="1"/>
  <c r="DU260" i="1" s="1"/>
  <c r="C146" i="1"/>
  <c r="C82" i="1"/>
  <c r="AC146" i="1"/>
  <c r="AD146" i="1" s="1"/>
  <c r="BO146" i="1"/>
  <c r="BP146" i="1" s="1"/>
  <c r="BW146" i="1" s="1"/>
  <c r="CS146" i="1"/>
  <c r="CT146" i="1" s="1"/>
  <c r="DA146" i="1" s="1"/>
  <c r="AO146" i="1"/>
  <c r="AP146" i="1" s="1"/>
  <c r="BZ146" i="1"/>
  <c r="CA146" i="1" s="1"/>
  <c r="AG146" i="1"/>
  <c r="AH146" i="1" s="1"/>
  <c r="Y146" i="1"/>
  <c r="Z146" i="1" s="1"/>
  <c r="R146" i="1"/>
  <c r="S146" i="1" s="1"/>
  <c r="AZ146" i="1"/>
  <c r="BA146" i="1" s="1"/>
  <c r="BH146" i="1"/>
  <c r="BI146" i="1" s="1"/>
  <c r="N146" i="1"/>
  <c r="O146" i="1" s="1"/>
  <c r="BD146" i="1"/>
  <c r="BE146" i="1" s="1"/>
  <c r="AS146" i="1"/>
  <c r="AT146" i="1" s="1"/>
  <c r="CD146" i="1"/>
  <c r="CE146" i="1" s="1"/>
  <c r="CL146" i="1"/>
  <c r="CM146" i="1" s="1"/>
  <c r="CH12" i="1"/>
  <c r="CI12" i="1" s="1"/>
  <c r="BH260" i="1"/>
  <c r="AZ260" i="1"/>
  <c r="CH260" i="1"/>
  <c r="BZ260" i="1"/>
  <c r="Y260" i="1"/>
  <c r="CS260" i="1"/>
  <c r="CT260" i="1" s="1"/>
  <c r="BD260" i="1"/>
  <c r="R260" i="1"/>
  <c r="AC260" i="1"/>
  <c r="BS260" i="1"/>
  <c r="CW260" i="1"/>
  <c r="CX260" i="1" s="1"/>
  <c r="N260" i="1"/>
  <c r="AG260" i="1"/>
  <c r="AK260" i="1"/>
  <c r="BO260" i="1"/>
  <c r="CL260" i="1"/>
  <c r="AS260" i="1"/>
  <c r="CD260" i="1"/>
  <c r="AS207" i="1"/>
  <c r="R207" i="1"/>
  <c r="N207" i="1"/>
  <c r="AC207" i="1"/>
  <c r="AK207" i="1"/>
  <c r="Y207" i="1"/>
  <c r="AG207" i="1"/>
  <c r="CS216" i="1"/>
  <c r="CT216" i="1" s="1"/>
  <c r="CW216" i="1"/>
  <c r="CX216" i="1" s="1"/>
  <c r="BD21" i="1"/>
  <c r="BE21" i="1" s="1"/>
  <c r="BH21" i="1"/>
  <c r="BI21" i="1" s="1"/>
  <c r="CH216" i="1"/>
  <c r="CI216" i="1" s="1"/>
  <c r="CL216" i="1"/>
  <c r="CM216" i="1" s="1"/>
  <c r="BH216" i="1"/>
  <c r="BI216" i="1" s="1"/>
  <c r="BD216" i="1"/>
  <c r="BE216" i="1" s="1"/>
  <c r="BS216" i="1"/>
  <c r="BT216" i="1" s="1"/>
  <c r="BW216" i="1" s="1"/>
  <c r="AT216" i="1"/>
  <c r="AL216" i="1"/>
  <c r="AZ216" i="1"/>
  <c r="BA216" i="1" s="1"/>
  <c r="AH216" i="1"/>
  <c r="C12" i="1"/>
  <c r="AS12" i="1" s="1"/>
  <c r="AT12" i="1" s="1"/>
  <c r="C260" i="1"/>
  <c r="C207" i="1"/>
  <c r="B260" i="1"/>
  <c r="B207" i="1"/>
  <c r="B12" i="1"/>
  <c r="BS12" i="1"/>
  <c r="BT12" i="1" s="1"/>
  <c r="BW12" i="1" s="1"/>
  <c r="CW12" i="1"/>
  <c r="CX12" i="1" s="1"/>
  <c r="DA12" i="1" s="1"/>
  <c r="AK12" i="1"/>
  <c r="AL12" i="1" s="1"/>
  <c r="CA269" i="1"/>
  <c r="AL269" i="1"/>
  <c r="CI269" i="1"/>
  <c r="BI269" i="1"/>
  <c r="CM269" i="1"/>
  <c r="AT269" i="1"/>
  <c r="BE269" i="1"/>
  <c r="AH269" i="1"/>
  <c r="BT269" i="1"/>
  <c r="BP269" i="1"/>
  <c r="BA269" i="1"/>
  <c r="AD269" i="1"/>
  <c r="E12" i="1"/>
  <c r="E207" i="1"/>
  <c r="E260" i="1"/>
  <c r="DD207" i="1" l="1"/>
  <c r="DE207" i="1" s="1"/>
  <c r="DL207" i="1"/>
  <c r="DM207" i="1" s="1"/>
  <c r="DP207" i="1"/>
  <c r="BL91" i="1"/>
  <c r="DX91" i="1" s="1"/>
  <c r="EB91" i="1" s="1"/>
  <c r="BL146" i="1"/>
  <c r="BL269" i="1"/>
  <c r="BL21" i="1"/>
  <c r="DX21" i="1" s="1"/>
  <c r="BL216" i="1"/>
  <c r="BW269" i="1"/>
  <c r="DA260" i="1"/>
  <c r="DA216" i="1"/>
  <c r="CP216" i="1"/>
  <c r="CP146" i="1"/>
  <c r="CP269" i="1"/>
  <c r="AW12" i="1"/>
  <c r="BP183" i="1"/>
  <c r="BW183" i="1"/>
  <c r="AO82" i="1"/>
  <c r="AP82" i="1" s="1"/>
  <c r="AS82" i="1"/>
  <c r="AT82" i="1" s="1"/>
  <c r="V146" i="1"/>
  <c r="BH82" i="1"/>
  <c r="BI82" i="1" s="1"/>
  <c r="BD82" i="1"/>
  <c r="BE82" i="1" s="1"/>
  <c r="CL82" i="1"/>
  <c r="CM82" i="1" s="1"/>
  <c r="CP82" i="1" s="1"/>
  <c r="DT207" i="1"/>
  <c r="DH207" i="1"/>
  <c r="DI207" i="1" s="1"/>
  <c r="AW146" i="1"/>
  <c r="CS207" i="1"/>
  <c r="CT207" i="1" s="1"/>
  <c r="CW207" i="1"/>
  <c r="CX207" i="1" s="1"/>
  <c r="CL12" i="1"/>
  <c r="CM12" i="1" s="1"/>
  <c r="CP12" i="1" s="1"/>
  <c r="BD12" i="1"/>
  <c r="BE12" i="1" s="1"/>
  <c r="BH12" i="1"/>
  <c r="BI12" i="1" s="1"/>
  <c r="AW216" i="1"/>
  <c r="AW269" i="1"/>
  <c r="BZ207" i="1"/>
  <c r="CA207" i="1" s="1"/>
  <c r="BS207" i="1"/>
  <c r="BT207" i="1" s="1"/>
  <c r="BO207" i="1"/>
  <c r="BP207" i="1" s="1"/>
  <c r="AT207" i="1"/>
  <c r="AD207" i="1"/>
  <c r="AH207" i="1"/>
  <c r="CH207" i="1"/>
  <c r="CI207" i="1" s="1"/>
  <c r="Z207" i="1"/>
  <c r="BD207" i="1"/>
  <c r="BE207" i="1" s="1"/>
  <c r="BH207" i="1"/>
  <c r="BI207" i="1" s="1"/>
  <c r="CL207" i="1"/>
  <c r="CM207" i="1" s="1"/>
  <c r="AZ207" i="1"/>
  <c r="BA207" i="1" s="1"/>
  <c r="S207" i="1"/>
  <c r="CD207" i="1"/>
  <c r="CE207" i="1" s="1"/>
  <c r="AL207" i="1"/>
  <c r="O207" i="1"/>
  <c r="BA260" i="1"/>
  <c r="AD260" i="1"/>
  <c r="CI260" i="1"/>
  <c r="BT260" i="1"/>
  <c r="BP260" i="1"/>
  <c r="BE260" i="1"/>
  <c r="AL260" i="1"/>
  <c r="S260" i="1"/>
  <c r="CA260" i="1"/>
  <c r="CE260" i="1"/>
  <c r="AT260" i="1"/>
  <c r="BI260" i="1"/>
  <c r="CM260" i="1"/>
  <c r="AH260" i="1"/>
  <c r="O260" i="1"/>
  <c r="DX216" i="1" l="1"/>
  <c r="DX269" i="1"/>
  <c r="DX146" i="1"/>
  <c r="EB146" i="1" s="1"/>
  <c r="L8" i="9" s="1"/>
  <c r="BL82" i="1"/>
  <c r="BL260" i="1"/>
  <c r="C17" i="9"/>
  <c r="BL12" i="1"/>
  <c r="DX12" i="1" s="1"/>
  <c r="BL207" i="1"/>
  <c r="BW207" i="1"/>
  <c r="BW260" i="1"/>
  <c r="DA207" i="1"/>
  <c r="CP260" i="1"/>
  <c r="CP207" i="1"/>
  <c r="AW82" i="1"/>
  <c r="DX82" i="1" s="1"/>
  <c r="AW207" i="1"/>
  <c r="BP244" i="1"/>
  <c r="V207" i="1"/>
  <c r="AW260" i="1"/>
  <c r="Z260" i="1"/>
  <c r="G11" i="8"/>
  <c r="H11" i="8" s="1"/>
  <c r="V260" i="1"/>
  <c r="DX260" i="1" l="1"/>
  <c r="DX207" i="1"/>
  <c r="EB82" i="1"/>
  <c r="C8" i="9" s="1"/>
  <c r="C58" i="6"/>
  <c r="C60" i="6" s="1"/>
  <c r="F8" i="11" s="1"/>
  <c r="F9" i="9"/>
  <c r="B49" i="6" l="1"/>
  <c r="P35" i="2" l="1"/>
  <c r="D40" i="1"/>
  <c r="D24" i="1"/>
  <c r="D38" i="1"/>
  <c r="D39" i="1"/>
  <c r="D28" i="1"/>
  <c r="D43" i="1"/>
  <c r="D25" i="1"/>
  <c r="D41" i="1"/>
  <c r="D29" i="1"/>
  <c r="D26" i="1"/>
  <c r="D27" i="1"/>
  <c r="E230" i="1"/>
  <c r="D37" i="1"/>
  <c r="E32" i="1"/>
  <c r="E221" i="1"/>
  <c r="E274" i="1"/>
  <c r="P37" i="2"/>
  <c r="E37" i="11" s="1"/>
  <c r="E39" i="1"/>
  <c r="E287" i="1"/>
  <c r="P21" i="2"/>
  <c r="P28" i="2"/>
  <c r="E225" i="1"/>
  <c r="E278" i="1"/>
  <c r="P19" i="2"/>
  <c r="D290" i="1"/>
  <c r="D237" i="1"/>
  <c r="D23" i="1"/>
  <c r="P42" i="2"/>
  <c r="D284" i="1"/>
  <c r="D231" i="1"/>
  <c r="P26" i="2"/>
  <c r="D22" i="1"/>
  <c r="E46" i="1"/>
  <c r="E294" i="1"/>
  <c r="C47" i="1"/>
  <c r="C242" i="1"/>
  <c r="C295" i="1"/>
  <c r="P33" i="2"/>
  <c r="E35" i="1"/>
  <c r="E283" i="1"/>
  <c r="C281" i="1"/>
  <c r="C228" i="1"/>
  <c r="C273" i="1"/>
  <c r="D35" i="1"/>
  <c r="P40" i="2"/>
  <c r="E237" i="1"/>
  <c r="E290" i="1"/>
  <c r="C286" i="1"/>
  <c r="C233" i="1"/>
  <c r="P24" i="2"/>
  <c r="E24" i="11" s="1"/>
  <c r="D217" i="1"/>
  <c r="D270" i="1"/>
  <c r="D30" i="1"/>
  <c r="E43" i="1"/>
  <c r="CL43" i="1" s="1"/>
  <c r="CM43" i="1" s="1"/>
  <c r="C240" i="1"/>
  <c r="C293" i="1"/>
  <c r="C45" i="1"/>
  <c r="P31" i="2"/>
  <c r="E31" i="11" s="1"/>
  <c r="E33" i="1"/>
  <c r="P38" i="2"/>
  <c r="E38" i="11" s="1"/>
  <c r="P36" i="2"/>
  <c r="C284" i="1"/>
  <c r="D280" i="1"/>
  <c r="D227" i="1"/>
  <c r="P22" i="2"/>
  <c r="E22" i="11" s="1"/>
  <c r="E24" i="1"/>
  <c r="E272" i="1"/>
  <c r="C219" i="1"/>
  <c r="C272" i="1"/>
  <c r="D220" i="1"/>
  <c r="D273" i="1"/>
  <c r="E289" i="1"/>
  <c r="E235" i="1"/>
  <c r="E288" i="1"/>
  <c r="C43" i="1"/>
  <c r="C238" i="1"/>
  <c r="D234" i="1"/>
  <c r="D287" i="1"/>
  <c r="P29" i="2"/>
  <c r="E226" i="1"/>
  <c r="B22" i="2"/>
  <c r="E220" i="1"/>
  <c r="C27" i="1"/>
  <c r="C222" i="1"/>
  <c r="C275" i="1"/>
  <c r="D218" i="1"/>
  <c r="D271" i="1"/>
  <c r="D42" i="1"/>
  <c r="D36" i="1"/>
  <c r="D32" i="1"/>
  <c r="P34" i="2"/>
  <c r="P20" i="2"/>
  <c r="E20" i="11" s="1"/>
  <c r="E239" i="1"/>
  <c r="DL239" i="1" s="1"/>
  <c r="DM239" i="1" s="1"/>
  <c r="E233" i="1"/>
  <c r="C236" i="1"/>
  <c r="C289" i="1"/>
  <c r="C41" i="1"/>
  <c r="P27" i="2"/>
  <c r="E27" i="11" s="1"/>
  <c r="E224" i="1"/>
  <c r="E277" i="1"/>
  <c r="E23" i="1"/>
  <c r="E217" i="1"/>
  <c r="C271" i="1"/>
  <c r="D240" i="1"/>
  <c r="D293" i="1"/>
  <c r="D45" i="1"/>
  <c r="DL45" i="1" s="1"/>
  <c r="DM45" i="1" s="1"/>
  <c r="D282" i="1"/>
  <c r="D229" i="1"/>
  <c r="D33" i="1"/>
  <c r="E47" i="1"/>
  <c r="E295" i="1"/>
  <c r="D294" i="1"/>
  <c r="D46" i="1"/>
  <c r="DL46" i="1" s="1"/>
  <c r="DM46" i="1" s="1"/>
  <c r="D241" i="1"/>
  <c r="D239" i="1"/>
  <c r="D44" i="1"/>
  <c r="DL44" i="1" s="1"/>
  <c r="DM44" i="1" s="1"/>
  <c r="D292" i="1"/>
  <c r="B29" i="2"/>
  <c r="C280" i="1"/>
  <c r="D236" i="1"/>
  <c r="B38" i="2"/>
  <c r="D289" i="1"/>
  <c r="D238" i="1"/>
  <c r="D291" i="1"/>
  <c r="D31" i="1"/>
  <c r="E231" i="1"/>
  <c r="P43" i="2"/>
  <c r="P41" i="2"/>
  <c r="E285" i="1"/>
  <c r="C39" i="1"/>
  <c r="C234" i="1"/>
  <c r="C287" i="1"/>
  <c r="D283" i="1"/>
  <c r="D230" i="1"/>
  <c r="P25" i="2"/>
  <c r="E25" i="11" s="1"/>
  <c r="P23" i="2"/>
  <c r="D242" i="1"/>
  <c r="D47" i="1"/>
  <c r="DL47" i="1" s="1"/>
  <c r="DM47" i="1" s="1"/>
  <c r="D295" i="1"/>
  <c r="B44" i="2"/>
  <c r="P44" i="2"/>
  <c r="E44" i="11" s="1"/>
  <c r="B42" i="2"/>
  <c r="E293" i="1"/>
  <c r="P32" i="2"/>
  <c r="P30" i="2"/>
  <c r="E28" i="1"/>
  <c r="E276" i="1"/>
  <c r="E27" i="1"/>
  <c r="E275" i="1"/>
  <c r="D223" i="1"/>
  <c r="AK223" i="1" s="1"/>
  <c r="D276" i="1"/>
  <c r="D221" i="1"/>
  <c r="AK221" i="1" s="1"/>
  <c r="D274" i="1"/>
  <c r="C217" i="1"/>
  <c r="B40" i="2"/>
  <c r="D34" i="1"/>
  <c r="P39" i="2"/>
  <c r="C241" i="1"/>
  <c r="C294" i="1"/>
  <c r="C46" i="1"/>
  <c r="B41" i="2"/>
  <c r="C44" i="1"/>
  <c r="C42" i="1"/>
  <c r="C288" i="1"/>
  <c r="B31" i="2"/>
  <c r="E34" i="1"/>
  <c r="E282" i="1"/>
  <c r="C285" i="1"/>
  <c r="C283" i="1"/>
  <c r="B32" i="2"/>
  <c r="C35" i="1"/>
  <c r="C230" i="1"/>
  <c r="C225" i="1"/>
  <c r="C278" i="1"/>
  <c r="C223" i="1"/>
  <c r="C276" i="1"/>
  <c r="C28" i="1"/>
  <c r="B25" i="2"/>
  <c r="C274" i="1"/>
  <c r="B43" i="2"/>
  <c r="B241" i="1" s="1"/>
  <c r="B39" i="2"/>
  <c r="B36" i="2"/>
  <c r="B39" i="1" s="1"/>
  <c r="B33" i="2"/>
  <c r="B23" i="2"/>
  <c r="B20" i="2"/>
  <c r="D279" i="1"/>
  <c r="D226" i="1"/>
  <c r="B28" i="2"/>
  <c r="D224" i="1"/>
  <c r="AK224" i="1" s="1"/>
  <c r="B26" i="2"/>
  <c r="D277" i="1"/>
  <c r="D219" i="1"/>
  <c r="B21" i="2"/>
  <c r="D272" i="1"/>
  <c r="D285" i="1"/>
  <c r="B34" i="2"/>
  <c r="D232" i="1"/>
  <c r="D281" i="1"/>
  <c r="D228" i="1"/>
  <c r="B30" i="2"/>
  <c r="B281" i="1" s="1"/>
  <c r="D278" i="1"/>
  <c r="B27" i="2"/>
  <c r="B278" i="1" s="1"/>
  <c r="D225" i="1"/>
  <c r="AK225" i="1" s="1"/>
  <c r="D235" i="1"/>
  <c r="D288" i="1"/>
  <c r="B37" i="2"/>
  <c r="D233" i="1"/>
  <c r="D286" i="1"/>
  <c r="B35" i="2"/>
  <c r="B19" i="2"/>
  <c r="D222" i="1"/>
  <c r="AK222" i="1" s="1"/>
  <c r="B24" i="2"/>
  <c r="D275" i="1"/>
  <c r="DL41" i="1" l="1"/>
  <c r="DM41" i="1" s="1"/>
  <c r="DP41" i="1"/>
  <c r="DQ41" i="1" s="1"/>
  <c r="DL34" i="1"/>
  <c r="DM34" i="1" s="1"/>
  <c r="DP34" i="1"/>
  <c r="DQ34" i="1" s="1"/>
  <c r="DL237" i="1"/>
  <c r="DM237" i="1" s="1"/>
  <c r="DP237" i="1"/>
  <c r="DQ237" i="1" s="1"/>
  <c r="DP43" i="1"/>
  <c r="DQ43" i="1" s="1"/>
  <c r="DL43" i="1"/>
  <c r="DM43" i="1" s="1"/>
  <c r="DP33" i="1"/>
  <c r="DQ33" i="1" s="1"/>
  <c r="DL33" i="1"/>
  <c r="DM33" i="1" s="1"/>
  <c r="DP224" i="1"/>
  <c r="DQ224" i="1" s="1"/>
  <c r="DL224" i="1"/>
  <c r="DM224" i="1" s="1"/>
  <c r="DL36" i="1"/>
  <c r="DM36" i="1" s="1"/>
  <c r="DP36" i="1"/>
  <c r="DQ36" i="1" s="1"/>
  <c r="DL29" i="1"/>
  <c r="DM29" i="1" s="1"/>
  <c r="DP29" i="1"/>
  <c r="DQ29" i="1" s="1"/>
  <c r="DL42" i="1"/>
  <c r="DM42" i="1" s="1"/>
  <c r="DP42" i="1"/>
  <c r="DQ42" i="1" s="1"/>
  <c r="DL23" i="1"/>
  <c r="DM23" i="1" s="1"/>
  <c r="DP23" i="1"/>
  <c r="DQ23" i="1" s="1"/>
  <c r="DL25" i="1"/>
  <c r="DM25" i="1" s="1"/>
  <c r="DP25" i="1"/>
  <c r="DQ25" i="1" s="1"/>
  <c r="DL231" i="1"/>
  <c r="DM231" i="1" s="1"/>
  <c r="DP231" i="1"/>
  <c r="DQ231" i="1" s="1"/>
  <c r="DP221" i="1"/>
  <c r="DQ221" i="1" s="1"/>
  <c r="DL221" i="1"/>
  <c r="DM221" i="1" s="1"/>
  <c r="DL233" i="1"/>
  <c r="DM233" i="1" s="1"/>
  <c r="DP233" i="1"/>
  <c r="DQ233" i="1" s="1"/>
  <c r="DP31" i="1"/>
  <c r="DQ31" i="1" s="1"/>
  <c r="DL31" i="1"/>
  <c r="DM31" i="1" s="1"/>
  <c r="DP28" i="1"/>
  <c r="DQ28" i="1" s="1"/>
  <c r="DL28" i="1"/>
  <c r="DM28" i="1" s="1"/>
  <c r="DP35" i="1"/>
  <c r="DQ35" i="1" s="1"/>
  <c r="DL35" i="1"/>
  <c r="DM35" i="1" s="1"/>
  <c r="DL39" i="1"/>
  <c r="DM39" i="1" s="1"/>
  <c r="DP39" i="1"/>
  <c r="DQ39" i="1" s="1"/>
  <c r="DL235" i="1"/>
  <c r="DM235" i="1" s="1"/>
  <c r="DP235" i="1"/>
  <c r="DQ235" i="1" s="1"/>
  <c r="DL30" i="1"/>
  <c r="DM30" i="1" s="1"/>
  <c r="DP30" i="1"/>
  <c r="DQ30" i="1" s="1"/>
  <c r="DP37" i="1"/>
  <c r="DQ37" i="1" s="1"/>
  <c r="DL37" i="1"/>
  <c r="DM37" i="1" s="1"/>
  <c r="DP38" i="1"/>
  <c r="DQ38" i="1" s="1"/>
  <c r="DL38" i="1"/>
  <c r="DM38" i="1" s="1"/>
  <c r="DD217" i="1"/>
  <c r="DE217" i="1" s="1"/>
  <c r="DP217" i="1"/>
  <c r="DQ217" i="1" s="1"/>
  <c r="DL217" i="1"/>
  <c r="DM217" i="1" s="1"/>
  <c r="DP220" i="1"/>
  <c r="DQ220" i="1" s="1"/>
  <c r="DL220" i="1"/>
  <c r="DM220" i="1" s="1"/>
  <c r="DP22" i="1"/>
  <c r="DQ22" i="1" s="1"/>
  <c r="DL22" i="1"/>
  <c r="DM22" i="1" s="1"/>
  <c r="DL225" i="1"/>
  <c r="DM225" i="1" s="1"/>
  <c r="DP225" i="1"/>
  <c r="DQ225" i="1" s="1"/>
  <c r="DL230" i="1"/>
  <c r="DM230" i="1" s="1"/>
  <c r="DP230" i="1"/>
  <c r="DQ230" i="1" s="1"/>
  <c r="AK24" i="1"/>
  <c r="AL24" i="1" s="1"/>
  <c r="DP24" i="1"/>
  <c r="DQ24" i="1" s="1"/>
  <c r="DL24" i="1"/>
  <c r="DM24" i="1" s="1"/>
  <c r="DP27" i="1"/>
  <c r="DQ27" i="1" s="1"/>
  <c r="DL27" i="1"/>
  <c r="DM27" i="1" s="1"/>
  <c r="DP40" i="1"/>
  <c r="DQ40" i="1" s="1"/>
  <c r="DL40" i="1"/>
  <c r="DM40" i="1" s="1"/>
  <c r="DP32" i="1"/>
  <c r="DQ32" i="1" s="1"/>
  <c r="DL32" i="1"/>
  <c r="DM32" i="1" s="1"/>
  <c r="DP226" i="1"/>
  <c r="DQ226" i="1" s="1"/>
  <c r="DL226" i="1"/>
  <c r="DM226" i="1" s="1"/>
  <c r="DL26" i="1"/>
  <c r="DM26" i="1" s="1"/>
  <c r="DP26" i="1"/>
  <c r="DQ26" i="1" s="1"/>
  <c r="DP285" i="1"/>
  <c r="DQ285" i="1" s="1"/>
  <c r="DL285" i="1"/>
  <c r="DM285" i="1" s="1"/>
  <c r="DP272" i="1"/>
  <c r="DQ272" i="1" s="1"/>
  <c r="DL272" i="1"/>
  <c r="DM272" i="1" s="1"/>
  <c r="DP291" i="1"/>
  <c r="DQ291" i="1" s="1"/>
  <c r="DL291" i="1"/>
  <c r="DM291" i="1" s="1"/>
  <c r="DP273" i="1"/>
  <c r="DQ273" i="1" s="1"/>
  <c r="DL273" i="1"/>
  <c r="DM273" i="1" s="1"/>
  <c r="DL284" i="1"/>
  <c r="DM284" i="1" s="1"/>
  <c r="DP284" i="1"/>
  <c r="DQ284" i="1" s="1"/>
  <c r="DP283" i="1"/>
  <c r="DQ283" i="1" s="1"/>
  <c r="DL283" i="1"/>
  <c r="DM283" i="1" s="1"/>
  <c r="DP275" i="1"/>
  <c r="DQ275" i="1" s="1"/>
  <c r="DL275" i="1"/>
  <c r="DM275" i="1" s="1"/>
  <c r="DP279" i="1"/>
  <c r="DQ279" i="1" s="1"/>
  <c r="DL279" i="1"/>
  <c r="DM279" i="1" s="1"/>
  <c r="DP270" i="1"/>
  <c r="DQ270" i="1" s="1"/>
  <c r="DL270" i="1"/>
  <c r="DM270" i="1" s="1"/>
  <c r="DP286" i="1"/>
  <c r="DQ286" i="1" s="1"/>
  <c r="DL286" i="1"/>
  <c r="DM286" i="1" s="1"/>
  <c r="DP278" i="1"/>
  <c r="DQ278" i="1" s="1"/>
  <c r="DL278" i="1"/>
  <c r="DM278" i="1" s="1"/>
  <c r="DL277" i="1"/>
  <c r="DM277" i="1" s="1"/>
  <c r="DP277" i="1"/>
  <c r="DQ277" i="1" s="1"/>
  <c r="DP276" i="1"/>
  <c r="DQ276" i="1" s="1"/>
  <c r="DL276" i="1"/>
  <c r="DM276" i="1" s="1"/>
  <c r="DP271" i="1"/>
  <c r="DQ271" i="1" s="1"/>
  <c r="DL271" i="1"/>
  <c r="DM271" i="1" s="1"/>
  <c r="DL280" i="1"/>
  <c r="DM280" i="1" s="1"/>
  <c r="DP280" i="1"/>
  <c r="DQ280" i="1" s="1"/>
  <c r="DP290" i="1"/>
  <c r="DQ290" i="1" s="1"/>
  <c r="DL290" i="1"/>
  <c r="DM290" i="1" s="1"/>
  <c r="DL274" i="1"/>
  <c r="DM274" i="1" s="1"/>
  <c r="DP274" i="1"/>
  <c r="DQ274" i="1" s="1"/>
  <c r="DL289" i="1"/>
  <c r="DM289" i="1" s="1"/>
  <c r="DP289" i="1"/>
  <c r="DQ289" i="1" s="1"/>
  <c r="DL294" i="1"/>
  <c r="DM294" i="1" s="1"/>
  <c r="DP294" i="1"/>
  <c r="DL287" i="1"/>
  <c r="DM287" i="1" s="1"/>
  <c r="DP287" i="1"/>
  <c r="DQ287" i="1" s="1"/>
  <c r="DP295" i="1"/>
  <c r="DL295" i="1"/>
  <c r="DM295" i="1" s="1"/>
  <c r="DP282" i="1"/>
  <c r="DQ282" i="1" s="1"/>
  <c r="DL282" i="1"/>
  <c r="DM282" i="1" s="1"/>
  <c r="DP288" i="1"/>
  <c r="DQ288" i="1" s="1"/>
  <c r="DL288" i="1"/>
  <c r="DM288" i="1" s="1"/>
  <c r="DP281" i="1"/>
  <c r="DQ281" i="1" s="1"/>
  <c r="DL281" i="1"/>
  <c r="DM281" i="1" s="1"/>
  <c r="DP292" i="1"/>
  <c r="DL292" i="1"/>
  <c r="DM292" i="1" s="1"/>
  <c r="DP293" i="1"/>
  <c r="DL293" i="1"/>
  <c r="DM293" i="1" s="1"/>
  <c r="B228" i="1"/>
  <c r="E21" i="11"/>
  <c r="P115" i="6"/>
  <c r="DH274" i="1"/>
  <c r="DI274" i="1" s="1"/>
  <c r="DD274" i="1"/>
  <c r="DE274" i="1" s="1"/>
  <c r="DT274" i="1"/>
  <c r="DU274" i="1" s="1"/>
  <c r="B295" i="1"/>
  <c r="B181" i="1"/>
  <c r="B117" i="1"/>
  <c r="B289" i="1"/>
  <c r="B175" i="1"/>
  <c r="B111" i="1"/>
  <c r="DT22" i="1"/>
  <c r="DU22" i="1" s="1"/>
  <c r="DH22" i="1"/>
  <c r="DI22" i="1" s="1"/>
  <c r="CH26" i="1"/>
  <c r="CI26" i="1" s="1"/>
  <c r="DH26" i="1"/>
  <c r="DI26" i="1" s="1"/>
  <c r="DT26" i="1"/>
  <c r="DU26" i="1" s="1"/>
  <c r="B168" i="1"/>
  <c r="B104" i="1"/>
  <c r="DH29" i="1"/>
  <c r="DI29" i="1" s="1"/>
  <c r="DT29" i="1"/>
  <c r="DU29" i="1" s="1"/>
  <c r="B166" i="1"/>
  <c r="B102" i="1"/>
  <c r="DT282" i="1"/>
  <c r="DU282" i="1" s="1"/>
  <c r="DH282" i="1"/>
  <c r="DI282" i="1" s="1"/>
  <c r="DD282" i="1"/>
  <c r="DE282" i="1" s="1"/>
  <c r="DT30" i="1"/>
  <c r="DU30" i="1" s="1"/>
  <c r="DH30" i="1"/>
  <c r="DI30" i="1" s="1"/>
  <c r="DH41" i="1"/>
  <c r="DI41" i="1" s="1"/>
  <c r="DT41" i="1"/>
  <c r="DU41" i="1" s="1"/>
  <c r="DT288" i="1"/>
  <c r="DU288" i="1" s="1"/>
  <c r="DH288" i="1"/>
  <c r="DI288" i="1" s="1"/>
  <c r="DD288" i="1"/>
  <c r="DE288" i="1" s="1"/>
  <c r="B36" i="1"/>
  <c r="BH36" i="1" s="1"/>
  <c r="B170" i="1"/>
  <c r="B106" i="1"/>
  <c r="DD277" i="1"/>
  <c r="DE277" i="1" s="1"/>
  <c r="DT277" i="1"/>
  <c r="DU277" i="1" s="1"/>
  <c r="DH277" i="1"/>
  <c r="DI277" i="1" s="1"/>
  <c r="B287" i="1"/>
  <c r="B173" i="1"/>
  <c r="B109" i="1"/>
  <c r="DD292" i="1"/>
  <c r="DE292" i="1" s="1"/>
  <c r="DT292" i="1"/>
  <c r="DU292" i="1" s="1"/>
  <c r="DH292" i="1"/>
  <c r="DI292" i="1" s="1"/>
  <c r="DT233" i="1"/>
  <c r="DU233" i="1" s="1"/>
  <c r="DH233" i="1"/>
  <c r="DI233" i="1" s="1"/>
  <c r="DH220" i="1"/>
  <c r="DI220" i="1" s="1"/>
  <c r="DT220" i="1"/>
  <c r="DU220" i="1" s="1"/>
  <c r="DT270" i="1"/>
  <c r="DU270" i="1" s="1"/>
  <c r="DH270" i="1"/>
  <c r="DI270" i="1" s="1"/>
  <c r="DD270" i="1"/>
  <c r="DE270" i="1" s="1"/>
  <c r="DT284" i="1"/>
  <c r="DU284" i="1" s="1"/>
  <c r="DH284" i="1"/>
  <c r="DI284" i="1" s="1"/>
  <c r="DD284" i="1"/>
  <c r="DE284" i="1" s="1"/>
  <c r="DH25" i="1"/>
  <c r="DI25" i="1" s="1"/>
  <c r="DT25" i="1"/>
  <c r="DU25" i="1" s="1"/>
  <c r="B235" i="1"/>
  <c r="B174" i="1"/>
  <c r="B110" i="1"/>
  <c r="B163" i="1"/>
  <c r="B99" i="1"/>
  <c r="B234" i="1"/>
  <c r="B162" i="1"/>
  <c r="B98" i="1"/>
  <c r="CH44" i="1"/>
  <c r="CI44" i="1" s="1"/>
  <c r="DT44" i="1"/>
  <c r="DU44" i="1" s="1"/>
  <c r="DH44" i="1"/>
  <c r="DI44" i="1" s="1"/>
  <c r="DH239" i="1"/>
  <c r="DI239" i="1" s="1"/>
  <c r="DT239" i="1"/>
  <c r="DU239" i="1" s="1"/>
  <c r="B159" i="1"/>
  <c r="B95" i="1"/>
  <c r="DH43" i="1"/>
  <c r="DI43" i="1" s="1"/>
  <c r="DT43" i="1"/>
  <c r="DU43" i="1" s="1"/>
  <c r="DH226" i="1"/>
  <c r="DI226" i="1" s="1"/>
  <c r="DT226" i="1"/>
  <c r="DU226" i="1" s="1"/>
  <c r="CH23" i="1"/>
  <c r="CI23" i="1" s="1"/>
  <c r="DH23" i="1"/>
  <c r="DI23" i="1" s="1"/>
  <c r="DT23" i="1"/>
  <c r="DU23" i="1" s="1"/>
  <c r="AK28" i="1"/>
  <c r="AL28" i="1" s="1"/>
  <c r="AW28" i="1" s="1"/>
  <c r="DT28" i="1"/>
  <c r="DU28" i="1" s="1"/>
  <c r="DH28" i="1"/>
  <c r="DI28" i="1" s="1"/>
  <c r="DT285" i="1"/>
  <c r="DU285" i="1" s="1"/>
  <c r="DH285" i="1"/>
  <c r="DI285" i="1" s="1"/>
  <c r="DD285" i="1"/>
  <c r="DE285" i="1" s="1"/>
  <c r="DH221" i="1"/>
  <c r="DI221" i="1" s="1"/>
  <c r="DT221" i="1"/>
  <c r="DU221" i="1" s="1"/>
  <c r="CH39" i="1"/>
  <c r="CI39" i="1" s="1"/>
  <c r="DH39" i="1"/>
  <c r="DI39" i="1" s="1"/>
  <c r="DT39" i="1"/>
  <c r="DU39" i="1" s="1"/>
  <c r="DD283" i="1"/>
  <c r="DE283" i="1" s="1"/>
  <c r="DT283" i="1"/>
  <c r="DU283" i="1" s="1"/>
  <c r="DH283" i="1"/>
  <c r="DI283" i="1" s="1"/>
  <c r="B44" i="1"/>
  <c r="B178" i="1"/>
  <c r="B114" i="1"/>
  <c r="DH46" i="1"/>
  <c r="DI46" i="1" s="1"/>
  <c r="DT46" i="1"/>
  <c r="DU46" i="1" s="1"/>
  <c r="DT293" i="1"/>
  <c r="DU293" i="1" s="1"/>
  <c r="DD293" i="1"/>
  <c r="DE293" i="1" s="1"/>
  <c r="DH293" i="1"/>
  <c r="DI293" i="1" s="1"/>
  <c r="DT287" i="1"/>
  <c r="DU287" i="1" s="1"/>
  <c r="DH287" i="1"/>
  <c r="DI287" i="1" s="1"/>
  <c r="DD287" i="1"/>
  <c r="DE287" i="1" s="1"/>
  <c r="DH290" i="1"/>
  <c r="DI290" i="1" s="1"/>
  <c r="DD290" i="1"/>
  <c r="DE290" i="1" s="1"/>
  <c r="DT290" i="1"/>
  <c r="DU290" i="1" s="1"/>
  <c r="DD279" i="1"/>
  <c r="DE279" i="1" s="1"/>
  <c r="DT279" i="1"/>
  <c r="DU279" i="1" s="1"/>
  <c r="DH279" i="1"/>
  <c r="DI279" i="1" s="1"/>
  <c r="B180" i="1"/>
  <c r="B116" i="1"/>
  <c r="DD294" i="1"/>
  <c r="DE294" i="1" s="1"/>
  <c r="DT294" i="1"/>
  <c r="DU294" i="1" s="1"/>
  <c r="DH294" i="1"/>
  <c r="DI294" i="1" s="1"/>
  <c r="CH38" i="1"/>
  <c r="CI38" i="1" s="1"/>
  <c r="DT38" i="1"/>
  <c r="DU38" i="1" s="1"/>
  <c r="DH38" i="1"/>
  <c r="DI38" i="1" s="1"/>
  <c r="B158" i="1"/>
  <c r="B94" i="1"/>
  <c r="B290" i="1"/>
  <c r="B176" i="1"/>
  <c r="B112" i="1"/>
  <c r="DH275" i="1"/>
  <c r="DI275" i="1" s="1"/>
  <c r="DD275" i="1"/>
  <c r="DE275" i="1" s="1"/>
  <c r="DT275" i="1"/>
  <c r="DU275" i="1" s="1"/>
  <c r="CW34" i="1"/>
  <c r="CX34" i="1" s="1"/>
  <c r="DA34" i="1" s="1"/>
  <c r="DH34" i="1"/>
  <c r="DI34" i="1" s="1"/>
  <c r="DT34" i="1"/>
  <c r="DU34" i="1" s="1"/>
  <c r="B293" i="1"/>
  <c r="B179" i="1"/>
  <c r="B115" i="1"/>
  <c r="DD295" i="1"/>
  <c r="DE295" i="1" s="1"/>
  <c r="DT295" i="1"/>
  <c r="DU295" i="1" s="1"/>
  <c r="DH295" i="1"/>
  <c r="DI295" i="1" s="1"/>
  <c r="DT231" i="1"/>
  <c r="DU231" i="1" s="1"/>
  <c r="DH231" i="1"/>
  <c r="DI231" i="1" s="1"/>
  <c r="DT217" i="1"/>
  <c r="DU217" i="1" s="1"/>
  <c r="DH217" i="1"/>
  <c r="DI217" i="1" s="1"/>
  <c r="DH237" i="1"/>
  <c r="DI237" i="1" s="1"/>
  <c r="DT237" i="1"/>
  <c r="DU237" i="1" s="1"/>
  <c r="DH225" i="1"/>
  <c r="DI225" i="1" s="1"/>
  <c r="DT225" i="1"/>
  <c r="DU225" i="1" s="1"/>
  <c r="DH24" i="1"/>
  <c r="DI24" i="1" s="1"/>
  <c r="DT24" i="1"/>
  <c r="DU24" i="1" s="1"/>
  <c r="DD276" i="1"/>
  <c r="DE276" i="1" s="1"/>
  <c r="DT276" i="1"/>
  <c r="DU276" i="1" s="1"/>
  <c r="DH276" i="1"/>
  <c r="DI276" i="1" s="1"/>
  <c r="CH45" i="1"/>
  <c r="CI45" i="1" s="1"/>
  <c r="DH45" i="1"/>
  <c r="DI45" i="1" s="1"/>
  <c r="DT45" i="1"/>
  <c r="DU45" i="1" s="1"/>
  <c r="DD278" i="1"/>
  <c r="DE278" i="1" s="1"/>
  <c r="DT278" i="1"/>
  <c r="DU278" i="1" s="1"/>
  <c r="DH278" i="1"/>
  <c r="DI278" i="1" s="1"/>
  <c r="DH47" i="1"/>
  <c r="DI47" i="1" s="1"/>
  <c r="DT47" i="1"/>
  <c r="DU47" i="1" s="1"/>
  <c r="DH31" i="1"/>
  <c r="DI31" i="1" s="1"/>
  <c r="DT31" i="1"/>
  <c r="DU31" i="1" s="1"/>
  <c r="DH32" i="1"/>
  <c r="DI32" i="1" s="1"/>
  <c r="DT32" i="1"/>
  <c r="DU32" i="1" s="1"/>
  <c r="DH40" i="1"/>
  <c r="DI40" i="1" s="1"/>
  <c r="DT40" i="1"/>
  <c r="DU40" i="1" s="1"/>
  <c r="DT272" i="1"/>
  <c r="DU272" i="1" s="1"/>
  <c r="DH272" i="1"/>
  <c r="DI272" i="1" s="1"/>
  <c r="DD272" i="1"/>
  <c r="DE272" i="1" s="1"/>
  <c r="DH33" i="1"/>
  <c r="DI33" i="1" s="1"/>
  <c r="DT33" i="1"/>
  <c r="DU33" i="1" s="1"/>
  <c r="B164" i="1"/>
  <c r="B100" i="1"/>
  <c r="DT281" i="1"/>
  <c r="DU281" i="1" s="1"/>
  <c r="DH281" i="1"/>
  <c r="DI281" i="1" s="1"/>
  <c r="DD281" i="1"/>
  <c r="DE281" i="1" s="1"/>
  <c r="B230" i="1"/>
  <c r="B169" i="1"/>
  <c r="B105" i="1"/>
  <c r="DH291" i="1"/>
  <c r="DI291" i="1" s="1"/>
  <c r="DD291" i="1"/>
  <c r="DE291" i="1" s="1"/>
  <c r="DT291" i="1"/>
  <c r="DU291" i="1" s="1"/>
  <c r="DT36" i="1"/>
  <c r="DU36" i="1" s="1"/>
  <c r="DH36" i="1"/>
  <c r="DI36" i="1" s="1"/>
  <c r="DH235" i="1"/>
  <c r="DI235" i="1" s="1"/>
  <c r="DT235" i="1"/>
  <c r="DU235" i="1" s="1"/>
  <c r="CH37" i="1"/>
  <c r="CI37" i="1" s="1"/>
  <c r="DH37" i="1"/>
  <c r="DI37" i="1" s="1"/>
  <c r="DT37" i="1"/>
  <c r="DU37" i="1" s="1"/>
  <c r="B161" i="1"/>
  <c r="B97" i="1"/>
  <c r="B33" i="1"/>
  <c r="BD33" i="1" s="1"/>
  <c r="BE33" i="1" s="1"/>
  <c r="B167" i="1"/>
  <c r="B103" i="1"/>
  <c r="B23" i="1"/>
  <c r="BD23" i="1" s="1"/>
  <c r="BE23" i="1" s="1"/>
  <c r="B157" i="1"/>
  <c r="B93" i="1"/>
  <c r="B177" i="1"/>
  <c r="B113" i="1"/>
  <c r="DH224" i="1"/>
  <c r="DI224" i="1" s="1"/>
  <c r="DT224" i="1"/>
  <c r="DU224" i="1" s="1"/>
  <c r="DH42" i="1"/>
  <c r="DI42" i="1" s="1"/>
  <c r="DT42" i="1"/>
  <c r="DU42" i="1" s="1"/>
  <c r="DT280" i="1"/>
  <c r="DU280" i="1" s="1"/>
  <c r="DH280" i="1"/>
  <c r="DI280" i="1" s="1"/>
  <c r="DD280" i="1"/>
  <c r="DE280" i="1" s="1"/>
  <c r="BS35" i="1"/>
  <c r="BT35" i="1" s="1"/>
  <c r="BW35" i="1" s="1"/>
  <c r="DH35" i="1"/>
  <c r="DI35" i="1" s="1"/>
  <c r="DT35" i="1"/>
  <c r="DU35" i="1" s="1"/>
  <c r="DH230" i="1"/>
  <c r="DI230" i="1" s="1"/>
  <c r="DT230" i="1"/>
  <c r="DU230" i="1" s="1"/>
  <c r="B165" i="1"/>
  <c r="B101" i="1"/>
  <c r="B22" i="1"/>
  <c r="BD22" i="1" s="1"/>
  <c r="B156" i="1"/>
  <c r="B92" i="1"/>
  <c r="B172" i="1"/>
  <c r="B108" i="1"/>
  <c r="DT286" i="1"/>
  <c r="DU286" i="1" s="1"/>
  <c r="DH286" i="1"/>
  <c r="DI286" i="1" s="1"/>
  <c r="DD286" i="1"/>
  <c r="DE286" i="1" s="1"/>
  <c r="B171" i="1"/>
  <c r="B107" i="1"/>
  <c r="B160" i="1"/>
  <c r="B96" i="1"/>
  <c r="DT289" i="1"/>
  <c r="DU289" i="1" s="1"/>
  <c r="DH289" i="1"/>
  <c r="DI289" i="1" s="1"/>
  <c r="DD289" i="1"/>
  <c r="DE289" i="1" s="1"/>
  <c r="DT271" i="1"/>
  <c r="DU271" i="1" s="1"/>
  <c r="DH271" i="1"/>
  <c r="DI271" i="1" s="1"/>
  <c r="DD271" i="1"/>
  <c r="DE271" i="1" s="1"/>
  <c r="DT273" i="1"/>
  <c r="DU273" i="1" s="1"/>
  <c r="DH273" i="1"/>
  <c r="DI273" i="1" s="1"/>
  <c r="DD273" i="1"/>
  <c r="DE273" i="1" s="1"/>
  <c r="BS27" i="1"/>
  <c r="BT27" i="1" s="1"/>
  <c r="BW27" i="1" s="1"/>
  <c r="DH27" i="1"/>
  <c r="DI27" i="1" s="1"/>
  <c r="DT27" i="1"/>
  <c r="DU27" i="1" s="1"/>
  <c r="D148" i="1"/>
  <c r="DD148" i="1" s="1"/>
  <c r="DE148" i="1" s="1"/>
  <c r="D84" i="1"/>
  <c r="E11" i="2"/>
  <c r="C11" i="2"/>
  <c r="D147" i="1"/>
  <c r="DD147" i="1" s="1"/>
  <c r="DE147" i="1" s="1"/>
  <c r="D83" i="1"/>
  <c r="C10" i="2"/>
  <c r="E10" i="2"/>
  <c r="E36" i="11"/>
  <c r="AE115" i="6"/>
  <c r="E28" i="11"/>
  <c r="W115" i="6"/>
  <c r="AG115" i="6"/>
  <c r="AM115" i="6"/>
  <c r="Q115" i="6"/>
  <c r="S115" i="6"/>
  <c r="BS26" i="1"/>
  <c r="BT26" i="1" s="1"/>
  <c r="BW26" i="1" s="1"/>
  <c r="CW28" i="1"/>
  <c r="CX28" i="1" s="1"/>
  <c r="DA28" i="1" s="1"/>
  <c r="CW22" i="1"/>
  <c r="CX22" i="1" s="1"/>
  <c r="DA22" i="1" s="1"/>
  <c r="BS28" i="1"/>
  <c r="BT28" i="1" s="1"/>
  <c r="BW28" i="1" s="1"/>
  <c r="CW37" i="1"/>
  <c r="CX37" i="1" s="1"/>
  <c r="DA37" i="1" s="1"/>
  <c r="BS23" i="1"/>
  <c r="BT23" i="1" s="1"/>
  <c r="BW23" i="1" s="1"/>
  <c r="BS39" i="1"/>
  <c r="BT39" i="1" s="1"/>
  <c r="BW39" i="1" s="1"/>
  <c r="CD273" i="1"/>
  <c r="AS273" i="1"/>
  <c r="AZ273" i="1"/>
  <c r="BZ273" i="1"/>
  <c r="AG273" i="1"/>
  <c r="CS273" i="1"/>
  <c r="CH273" i="1"/>
  <c r="AC273" i="1"/>
  <c r="CL273" i="1"/>
  <c r="BS273" i="1"/>
  <c r="BD273" i="1"/>
  <c r="AK273" i="1"/>
  <c r="BH273" i="1"/>
  <c r="BO273" i="1"/>
  <c r="CW273" i="1"/>
  <c r="CX273" i="1" s="1"/>
  <c r="DA273" i="1" s="1"/>
  <c r="CL28" i="1"/>
  <c r="CM28" i="1" s="1"/>
  <c r="CW220" i="1"/>
  <c r="CX220" i="1" s="1"/>
  <c r="DA220" i="1" s="1"/>
  <c r="AG220" i="1"/>
  <c r="AH220" i="1" s="1"/>
  <c r="AS220" i="1"/>
  <c r="AT220" i="1" s="1"/>
  <c r="AK220" i="1"/>
  <c r="AL220" i="1" s="1"/>
  <c r="CL24" i="1"/>
  <c r="CM24" i="1" s="1"/>
  <c r="CW230" i="1"/>
  <c r="CX230" i="1" s="1"/>
  <c r="DA230" i="1" s="1"/>
  <c r="CL33" i="1"/>
  <c r="CM33" i="1" s="1"/>
  <c r="CL39" i="1"/>
  <c r="CM39" i="1" s="1"/>
  <c r="AG219" i="1"/>
  <c r="AS219" i="1"/>
  <c r="AK219" i="1"/>
  <c r="CW233" i="1"/>
  <c r="CX233" i="1" s="1"/>
  <c r="DA233" i="1" s="1"/>
  <c r="CW226" i="1"/>
  <c r="CX226" i="1" s="1"/>
  <c r="DA226" i="1" s="1"/>
  <c r="CL35" i="1"/>
  <c r="CM35" i="1" s="1"/>
  <c r="BS290" i="1"/>
  <c r="BT290" i="1" s="1"/>
  <c r="CD290" i="1"/>
  <c r="CL290" i="1"/>
  <c r="CM290" i="1" s="1"/>
  <c r="BO290" i="1"/>
  <c r="BP290" i="1" s="1"/>
  <c r="AG290" i="1"/>
  <c r="AH290" i="1" s="1"/>
  <c r="AW290" i="1" s="1"/>
  <c r="CW290" i="1"/>
  <c r="BD290" i="1"/>
  <c r="BZ290" i="1"/>
  <c r="CA290" i="1" s="1"/>
  <c r="AZ290" i="1"/>
  <c r="BA290" i="1" s="1"/>
  <c r="BL290" i="1" s="1"/>
  <c r="AC290" i="1"/>
  <c r="AD290" i="1" s="1"/>
  <c r="CH290" i="1"/>
  <c r="CI290" i="1" s="1"/>
  <c r="CS290" i="1"/>
  <c r="BH290" i="1"/>
  <c r="CH27" i="1"/>
  <c r="CI27" i="1" s="1"/>
  <c r="BD278" i="1"/>
  <c r="BE278" i="1" s="1"/>
  <c r="BS278" i="1"/>
  <c r="BT278" i="1" s="1"/>
  <c r="CH278" i="1"/>
  <c r="CI278" i="1" s="1"/>
  <c r="AK278" i="1"/>
  <c r="AL278" i="1" s="1"/>
  <c r="AZ278" i="1"/>
  <c r="BA278" i="1" s="1"/>
  <c r="AG278" i="1"/>
  <c r="AH278" i="1" s="1"/>
  <c r="CD278" i="1"/>
  <c r="BO278" i="1"/>
  <c r="BP278" i="1" s="1"/>
  <c r="BH278" i="1"/>
  <c r="BI278" i="1" s="1"/>
  <c r="CL278" i="1"/>
  <c r="CM278" i="1" s="1"/>
  <c r="BZ278" i="1"/>
  <c r="CA278" i="1" s="1"/>
  <c r="CW278" i="1"/>
  <c r="CX278" i="1" s="1"/>
  <c r="DA278" i="1" s="1"/>
  <c r="CS278" i="1"/>
  <c r="AC278" i="1"/>
  <c r="AD278" i="1" s="1"/>
  <c r="CH293" i="1"/>
  <c r="CI293" i="1" s="1"/>
  <c r="BZ293" i="1"/>
  <c r="CA293" i="1" s="1"/>
  <c r="CS293" i="1"/>
  <c r="BS293" i="1"/>
  <c r="BD293" i="1"/>
  <c r="AC293" i="1"/>
  <c r="AD293" i="1" s="1"/>
  <c r="AZ293" i="1"/>
  <c r="BA293" i="1" s="1"/>
  <c r="BL293" i="1" s="1"/>
  <c r="CW293" i="1"/>
  <c r="CL293" i="1"/>
  <c r="CM293" i="1" s="1"/>
  <c r="AG293" i="1"/>
  <c r="AH293" i="1" s="1"/>
  <c r="AW293" i="1" s="1"/>
  <c r="CD293" i="1"/>
  <c r="BH293" i="1"/>
  <c r="BO293" i="1"/>
  <c r="BP293" i="1" s="1"/>
  <c r="BW293" i="1" s="1"/>
  <c r="BS274" i="1"/>
  <c r="BT274" i="1" s="1"/>
  <c r="CD274" i="1"/>
  <c r="CS274" i="1"/>
  <c r="AG274" i="1"/>
  <c r="AH274" i="1" s="1"/>
  <c r="BD274" i="1"/>
  <c r="BE274" i="1" s="1"/>
  <c r="BZ274" i="1"/>
  <c r="CA274" i="1" s="1"/>
  <c r="BO274" i="1"/>
  <c r="BP274" i="1" s="1"/>
  <c r="CH274" i="1"/>
  <c r="CI274" i="1" s="1"/>
  <c r="AZ274" i="1"/>
  <c r="BA274" i="1" s="1"/>
  <c r="BH274" i="1"/>
  <c r="BI274" i="1" s="1"/>
  <c r="CL274" i="1"/>
  <c r="CM274" i="1" s="1"/>
  <c r="AK274" i="1"/>
  <c r="AL274" i="1" s="1"/>
  <c r="AC274" i="1"/>
  <c r="AD274" i="1" s="1"/>
  <c r="CW274" i="1"/>
  <c r="CX274" i="1" s="1"/>
  <c r="DA274" i="1" s="1"/>
  <c r="CW32" i="1"/>
  <c r="CX32" i="1" s="1"/>
  <c r="DA32" i="1" s="1"/>
  <c r="CH32" i="1"/>
  <c r="CI32" i="1" s="1"/>
  <c r="CW280" i="1"/>
  <c r="CX280" i="1" s="1"/>
  <c r="DA280" i="1" s="1"/>
  <c r="AZ280" i="1"/>
  <c r="BD280" i="1"/>
  <c r="CH280" i="1"/>
  <c r="BZ280" i="1"/>
  <c r="CL280" i="1"/>
  <c r="CS280" i="1"/>
  <c r="BH280" i="1"/>
  <c r="AC280" i="1"/>
  <c r="AG280" i="1"/>
  <c r="CD280" i="1"/>
  <c r="BO280" i="1"/>
  <c r="BS280" i="1"/>
  <c r="CL286" i="1"/>
  <c r="BH286" i="1"/>
  <c r="CW286" i="1"/>
  <c r="CX286" i="1" s="1"/>
  <c r="DA286" i="1" s="1"/>
  <c r="AZ286" i="1"/>
  <c r="CH286" i="1"/>
  <c r="CD286" i="1"/>
  <c r="BO286" i="1"/>
  <c r="BZ286" i="1"/>
  <c r="AC286" i="1"/>
  <c r="CS286" i="1"/>
  <c r="BS286" i="1"/>
  <c r="BD286" i="1"/>
  <c r="AG286" i="1"/>
  <c r="CW231" i="1"/>
  <c r="CX231" i="1" s="1"/>
  <c r="DA231" i="1" s="1"/>
  <c r="CW36" i="1"/>
  <c r="CX36" i="1" s="1"/>
  <c r="DA36" i="1" s="1"/>
  <c r="CH36" i="1"/>
  <c r="CI36" i="1" s="1"/>
  <c r="CW29" i="1"/>
  <c r="CX29" i="1" s="1"/>
  <c r="DA29" i="1" s="1"/>
  <c r="CH29" i="1"/>
  <c r="CI29" i="1" s="1"/>
  <c r="BS24" i="1"/>
  <c r="BT24" i="1" s="1"/>
  <c r="BW24" i="1" s="1"/>
  <c r="CH24" i="1"/>
  <c r="CI24" i="1" s="1"/>
  <c r="BS288" i="1"/>
  <c r="BT288" i="1" s="1"/>
  <c r="CD288" i="1"/>
  <c r="AG288" i="1"/>
  <c r="AH288" i="1" s="1"/>
  <c r="AW288" i="1" s="1"/>
  <c r="CW288" i="1"/>
  <c r="CX288" i="1" s="1"/>
  <c r="DA288" i="1" s="1"/>
  <c r="BO288" i="1"/>
  <c r="BP288" i="1" s="1"/>
  <c r="AZ288" i="1"/>
  <c r="BA288" i="1" s="1"/>
  <c r="BL288" i="1" s="1"/>
  <c r="AC288" i="1"/>
  <c r="AD288" i="1" s="1"/>
  <c r="BH288" i="1"/>
  <c r="BZ288" i="1"/>
  <c r="CA288" i="1" s="1"/>
  <c r="CS288" i="1"/>
  <c r="CL288" i="1"/>
  <c r="CM288" i="1" s="1"/>
  <c r="BD288" i="1"/>
  <c r="CH288" i="1"/>
  <c r="CI288" i="1" s="1"/>
  <c r="CW281" i="1"/>
  <c r="CX281" i="1" s="1"/>
  <c r="DA281" i="1" s="1"/>
  <c r="CH281" i="1"/>
  <c r="AZ281" i="1"/>
  <c r="BD281" i="1"/>
  <c r="BZ281" i="1"/>
  <c r="AG281" i="1"/>
  <c r="CS281" i="1"/>
  <c r="BH281" i="1"/>
  <c r="CD281" i="1"/>
  <c r="AC281" i="1"/>
  <c r="CL281" i="1"/>
  <c r="BO281" i="1"/>
  <c r="BS281" i="1"/>
  <c r="BZ283" i="1"/>
  <c r="CA283" i="1" s="1"/>
  <c r="CD283" i="1"/>
  <c r="BO283" i="1"/>
  <c r="BP283" i="1" s="1"/>
  <c r="CW283" i="1"/>
  <c r="CX283" i="1" s="1"/>
  <c r="DA283" i="1" s="1"/>
  <c r="CH283" i="1"/>
  <c r="CI283" i="1" s="1"/>
  <c r="AC283" i="1"/>
  <c r="AD283" i="1" s="1"/>
  <c r="BH283" i="1"/>
  <c r="BI283" i="1" s="1"/>
  <c r="BS283" i="1"/>
  <c r="BT283" i="1" s="1"/>
  <c r="CS283" i="1"/>
  <c r="CL283" i="1"/>
  <c r="CM283" i="1" s="1"/>
  <c r="AG283" i="1"/>
  <c r="AH283" i="1" s="1"/>
  <c r="AW283" i="1" s="1"/>
  <c r="AZ283" i="1"/>
  <c r="BA283" i="1" s="1"/>
  <c r="BD283" i="1"/>
  <c r="BE283" i="1" s="1"/>
  <c r="CH31" i="1"/>
  <c r="CI31" i="1" s="1"/>
  <c r="CH42" i="1"/>
  <c r="CI42" i="1" s="1"/>
  <c r="AK22" i="1"/>
  <c r="AL22" i="1" s="1"/>
  <c r="CH22" i="1"/>
  <c r="CI22" i="1" s="1"/>
  <c r="CW225" i="1"/>
  <c r="CX225" i="1" s="1"/>
  <c r="DA225" i="1" s="1"/>
  <c r="CW221" i="1"/>
  <c r="CX221" i="1" s="1"/>
  <c r="DA221" i="1" s="1"/>
  <c r="CW24" i="1"/>
  <c r="CX24" i="1" s="1"/>
  <c r="DA24" i="1" s="1"/>
  <c r="BS277" i="1"/>
  <c r="BT277" i="1" s="1"/>
  <c r="BD277" i="1"/>
  <c r="BE277" i="1" s="1"/>
  <c r="AZ277" i="1"/>
  <c r="BA277" i="1" s="1"/>
  <c r="BZ277" i="1"/>
  <c r="CA277" i="1" s="1"/>
  <c r="AK277" i="1"/>
  <c r="AL277" i="1" s="1"/>
  <c r="CH277" i="1"/>
  <c r="CI277" i="1" s="1"/>
  <c r="BH277" i="1"/>
  <c r="BI277" i="1" s="1"/>
  <c r="CW277" i="1"/>
  <c r="CX277" i="1" s="1"/>
  <c r="DA277" i="1" s="1"/>
  <c r="AG277" i="1"/>
  <c r="AH277" i="1" s="1"/>
  <c r="CD277" i="1"/>
  <c r="BO277" i="1"/>
  <c r="BP277" i="1" s="1"/>
  <c r="AC277" i="1"/>
  <c r="AD277" i="1" s="1"/>
  <c r="CS277" i="1"/>
  <c r="CL277" i="1"/>
  <c r="CM277" i="1" s="1"/>
  <c r="BO291" i="1"/>
  <c r="AG291" i="1"/>
  <c r="BD291" i="1"/>
  <c r="AZ291" i="1"/>
  <c r="BH291" i="1"/>
  <c r="CD291" i="1"/>
  <c r="AC291" i="1"/>
  <c r="CS291" i="1"/>
  <c r="CW291" i="1"/>
  <c r="CL291" i="1"/>
  <c r="CH291" i="1"/>
  <c r="BZ291" i="1"/>
  <c r="BS291" i="1"/>
  <c r="CW33" i="1"/>
  <c r="CX33" i="1" s="1"/>
  <c r="DA33" i="1" s="1"/>
  <c r="CH33" i="1"/>
  <c r="CI33" i="1" s="1"/>
  <c r="CW217" i="1"/>
  <c r="CX217" i="1" s="1"/>
  <c r="DA217" i="1" s="1"/>
  <c r="CH271" i="1"/>
  <c r="BO271" i="1"/>
  <c r="AS271" i="1"/>
  <c r="BS271" i="1"/>
  <c r="CS271" i="1"/>
  <c r="AK271" i="1"/>
  <c r="CD271" i="1"/>
  <c r="AZ271" i="1"/>
  <c r="AC271" i="1"/>
  <c r="BD271" i="1"/>
  <c r="BZ271" i="1"/>
  <c r="AG271" i="1"/>
  <c r="CL271" i="1"/>
  <c r="CW271" i="1"/>
  <c r="CX271" i="1" s="1"/>
  <c r="DA271" i="1" s="1"/>
  <c r="BH271" i="1"/>
  <c r="CL32" i="1"/>
  <c r="CM32" i="1" s="1"/>
  <c r="BS41" i="1"/>
  <c r="BT41" i="1" s="1"/>
  <c r="BW41" i="1" s="1"/>
  <c r="CH41" i="1"/>
  <c r="CI41" i="1" s="1"/>
  <c r="CL276" i="1"/>
  <c r="CM276" i="1" s="1"/>
  <c r="AZ276" i="1"/>
  <c r="BA276" i="1" s="1"/>
  <c r="BS276" i="1"/>
  <c r="BT276" i="1" s="1"/>
  <c r="CH276" i="1"/>
  <c r="CI276" i="1" s="1"/>
  <c r="AG276" i="1"/>
  <c r="AH276" i="1" s="1"/>
  <c r="AK276" i="1"/>
  <c r="AL276" i="1" s="1"/>
  <c r="AC276" i="1"/>
  <c r="AD276" i="1" s="1"/>
  <c r="BH276" i="1"/>
  <c r="BI276" i="1" s="1"/>
  <c r="BZ276" i="1"/>
  <c r="CA276" i="1" s="1"/>
  <c r="BD276" i="1"/>
  <c r="BE276" i="1" s="1"/>
  <c r="CW276" i="1"/>
  <c r="CX276" i="1" s="1"/>
  <c r="DA276" i="1" s="1"/>
  <c r="CD276" i="1"/>
  <c r="CS276" i="1"/>
  <c r="BO276" i="1"/>
  <c r="BP276" i="1" s="1"/>
  <c r="CL23" i="1"/>
  <c r="CM23" i="1" s="1"/>
  <c r="AK218" i="1"/>
  <c r="AG218" i="1"/>
  <c r="AS218" i="1"/>
  <c r="AK25" i="1"/>
  <c r="AL25" i="1" s="1"/>
  <c r="CH25" i="1"/>
  <c r="CI25" i="1" s="1"/>
  <c r="BH292" i="1"/>
  <c r="BO292" i="1"/>
  <c r="CH292" i="1"/>
  <c r="CW292" i="1"/>
  <c r="BS292" i="1"/>
  <c r="AG292" i="1"/>
  <c r="BD292" i="1"/>
  <c r="AZ292" i="1"/>
  <c r="CS292" i="1"/>
  <c r="BZ292" i="1"/>
  <c r="CD292" i="1"/>
  <c r="CL292" i="1"/>
  <c r="AC292" i="1"/>
  <c r="CL34" i="1"/>
  <c r="CM34" i="1" s="1"/>
  <c r="CW282" i="1"/>
  <c r="CX282" i="1" s="1"/>
  <c r="DA282" i="1" s="1"/>
  <c r="CH282" i="1"/>
  <c r="CI282" i="1" s="1"/>
  <c r="BZ282" i="1"/>
  <c r="CA282" i="1" s="1"/>
  <c r="BD282" i="1"/>
  <c r="BE282" i="1" s="1"/>
  <c r="BH282" i="1"/>
  <c r="BI282" i="1" s="1"/>
  <c r="AC282" i="1"/>
  <c r="AD282" i="1" s="1"/>
  <c r="CS282" i="1"/>
  <c r="CL282" i="1"/>
  <c r="CM282" i="1" s="1"/>
  <c r="CD282" i="1"/>
  <c r="BO282" i="1"/>
  <c r="BP282" i="1" s="1"/>
  <c r="AZ282" i="1"/>
  <c r="BA282" i="1" s="1"/>
  <c r="AG282" i="1"/>
  <c r="AH282" i="1" s="1"/>
  <c r="AW282" i="1" s="1"/>
  <c r="BS282" i="1"/>
  <c r="BT282" i="1" s="1"/>
  <c r="CW30" i="1"/>
  <c r="CX30" i="1" s="1"/>
  <c r="DA30" i="1" s="1"/>
  <c r="CH30" i="1"/>
  <c r="CI30" i="1" s="1"/>
  <c r="CH43" i="1"/>
  <c r="CI43" i="1" s="1"/>
  <c r="CP43" i="1" s="1"/>
  <c r="BS40" i="1"/>
  <c r="BT40" i="1" s="1"/>
  <c r="BW40" i="1" s="1"/>
  <c r="CH40" i="1"/>
  <c r="CI40" i="1" s="1"/>
  <c r="CS285" i="1"/>
  <c r="CD285" i="1"/>
  <c r="AG285" i="1"/>
  <c r="AH285" i="1" s="1"/>
  <c r="AW285" i="1" s="1"/>
  <c r="BZ285" i="1"/>
  <c r="CA285" i="1" s="1"/>
  <c r="AC285" i="1"/>
  <c r="AD285" i="1" s="1"/>
  <c r="CL285" i="1"/>
  <c r="CM285" i="1" s="1"/>
  <c r="BH285" i="1"/>
  <c r="BO285" i="1"/>
  <c r="BP285" i="1" s="1"/>
  <c r="CW285" i="1"/>
  <c r="CX285" i="1" s="1"/>
  <c r="DA285" i="1" s="1"/>
  <c r="CH285" i="1"/>
  <c r="CI285" i="1" s="1"/>
  <c r="BS285" i="1"/>
  <c r="BT285" i="1" s="1"/>
  <c r="BD285" i="1"/>
  <c r="AZ285" i="1"/>
  <c r="BA285" i="1" s="1"/>
  <c r="BL285" i="1" s="1"/>
  <c r="AZ279" i="1"/>
  <c r="CH279" i="1"/>
  <c r="CW279" i="1"/>
  <c r="CX279" i="1" s="1"/>
  <c r="DA279" i="1" s="1"/>
  <c r="CD279" i="1"/>
  <c r="BO279" i="1"/>
  <c r="CL279" i="1"/>
  <c r="BZ279" i="1"/>
  <c r="BD279" i="1"/>
  <c r="BH279" i="1"/>
  <c r="AC279" i="1"/>
  <c r="AG279" i="1"/>
  <c r="BS279" i="1"/>
  <c r="CS279" i="1"/>
  <c r="BD294" i="1"/>
  <c r="CL294" i="1"/>
  <c r="AG294" i="1"/>
  <c r="AH294" i="1" s="1"/>
  <c r="AW294" i="1" s="1"/>
  <c r="BS294" i="1"/>
  <c r="BO294" i="1"/>
  <c r="BP294" i="1" s="1"/>
  <c r="BW294" i="1" s="1"/>
  <c r="AZ294" i="1"/>
  <c r="BA294" i="1" s="1"/>
  <c r="BL294" i="1" s="1"/>
  <c r="CD294" i="1"/>
  <c r="CS294" i="1"/>
  <c r="CH294" i="1"/>
  <c r="BH294" i="1"/>
  <c r="BZ294" i="1"/>
  <c r="CA294" i="1" s="1"/>
  <c r="AC294" i="1"/>
  <c r="AD294" i="1" s="1"/>
  <c r="CW294" i="1"/>
  <c r="CW224" i="1"/>
  <c r="CX224" i="1" s="1"/>
  <c r="DA224" i="1" s="1"/>
  <c r="CL270" i="1"/>
  <c r="AK270" i="1"/>
  <c r="BO270" i="1"/>
  <c r="CH270" i="1"/>
  <c r="CW270" i="1"/>
  <c r="CX270" i="1" s="1"/>
  <c r="DA270" i="1" s="1"/>
  <c r="AZ270" i="1"/>
  <c r="BD270" i="1"/>
  <c r="CS270" i="1"/>
  <c r="CD270" i="1"/>
  <c r="AS270" i="1"/>
  <c r="BZ270" i="1"/>
  <c r="AC270" i="1"/>
  <c r="BS270" i="1"/>
  <c r="AG270" i="1"/>
  <c r="BH270" i="1"/>
  <c r="CS284" i="1"/>
  <c r="BZ284" i="1"/>
  <c r="BO284" i="1"/>
  <c r="CW284" i="1"/>
  <c r="CX284" i="1" s="1"/>
  <c r="DA284" i="1" s="1"/>
  <c r="BS284" i="1"/>
  <c r="AG284" i="1"/>
  <c r="CL284" i="1"/>
  <c r="BH284" i="1"/>
  <c r="AC284" i="1"/>
  <c r="AZ284" i="1"/>
  <c r="CH284" i="1"/>
  <c r="CD284" i="1"/>
  <c r="BD284" i="1"/>
  <c r="BO275" i="1"/>
  <c r="BP275" i="1" s="1"/>
  <c r="CL275" i="1"/>
  <c r="CM275" i="1" s="1"/>
  <c r="AZ275" i="1"/>
  <c r="BA275" i="1" s="1"/>
  <c r="BS275" i="1"/>
  <c r="BT275" i="1" s="1"/>
  <c r="AG275" i="1"/>
  <c r="AH275" i="1" s="1"/>
  <c r="BH275" i="1"/>
  <c r="BI275" i="1" s="1"/>
  <c r="CW275" i="1"/>
  <c r="CX275" i="1" s="1"/>
  <c r="DA275" i="1" s="1"/>
  <c r="CD275" i="1"/>
  <c r="BD275" i="1"/>
  <c r="BE275" i="1" s="1"/>
  <c r="BZ275" i="1"/>
  <c r="CA275" i="1" s="1"/>
  <c r="AK275" i="1"/>
  <c r="AL275" i="1" s="1"/>
  <c r="CS275" i="1"/>
  <c r="CH275" i="1"/>
  <c r="CI275" i="1" s="1"/>
  <c r="AC275" i="1"/>
  <c r="AD275" i="1" s="1"/>
  <c r="CH287" i="1"/>
  <c r="CI287" i="1" s="1"/>
  <c r="BH287" i="1"/>
  <c r="BS287" i="1"/>
  <c r="BT287" i="1" s="1"/>
  <c r="CL287" i="1"/>
  <c r="CM287" i="1" s="1"/>
  <c r="AG287" i="1"/>
  <c r="AH287" i="1" s="1"/>
  <c r="AW287" i="1" s="1"/>
  <c r="BO287" i="1"/>
  <c r="BP287" i="1" s="1"/>
  <c r="BD287" i="1"/>
  <c r="CD287" i="1"/>
  <c r="AC287" i="1"/>
  <c r="AD287" i="1" s="1"/>
  <c r="AZ287" i="1"/>
  <c r="BA287" i="1" s="1"/>
  <c r="BL287" i="1" s="1"/>
  <c r="CS287" i="1"/>
  <c r="CW287" i="1"/>
  <c r="CX287" i="1" s="1"/>
  <c r="DA287" i="1" s="1"/>
  <c r="BZ287" i="1"/>
  <c r="CA287" i="1" s="1"/>
  <c r="AZ295" i="1"/>
  <c r="BA295" i="1" s="1"/>
  <c r="BL295" i="1" s="1"/>
  <c r="BD295" i="1"/>
  <c r="CD295" i="1"/>
  <c r="CS295" i="1"/>
  <c r="CW295" i="1"/>
  <c r="BS295" i="1"/>
  <c r="AG295" i="1"/>
  <c r="AH295" i="1" s="1"/>
  <c r="AW295" i="1" s="1"/>
  <c r="CL295" i="1"/>
  <c r="AC295" i="1"/>
  <c r="AD295" i="1" s="1"/>
  <c r="CH295" i="1"/>
  <c r="BH295" i="1"/>
  <c r="BO295" i="1"/>
  <c r="BP295" i="1" s="1"/>
  <c r="BW295" i="1" s="1"/>
  <c r="BZ295" i="1"/>
  <c r="CA295" i="1" s="1"/>
  <c r="BO289" i="1"/>
  <c r="BP289" i="1" s="1"/>
  <c r="BZ289" i="1"/>
  <c r="CA289" i="1" s="1"/>
  <c r="AG289" i="1"/>
  <c r="AH289" i="1" s="1"/>
  <c r="AW289" i="1" s="1"/>
  <c r="AZ289" i="1"/>
  <c r="BA289" i="1" s="1"/>
  <c r="BL289" i="1" s="1"/>
  <c r="CD289" i="1"/>
  <c r="BD289" i="1"/>
  <c r="BS289" i="1"/>
  <c r="BT289" i="1" s="1"/>
  <c r="CS289" i="1"/>
  <c r="CL289" i="1"/>
  <c r="CM289" i="1" s="1"/>
  <c r="BH289" i="1"/>
  <c r="AC289" i="1"/>
  <c r="AD289" i="1" s="1"/>
  <c r="CW289" i="1"/>
  <c r="CH289" i="1"/>
  <c r="CI289" i="1" s="1"/>
  <c r="AG217" i="1"/>
  <c r="AH217" i="1" s="1"/>
  <c r="AS217" i="1"/>
  <c r="AT217" i="1" s="1"/>
  <c r="AK217" i="1"/>
  <c r="AL217" i="1" s="1"/>
  <c r="CW35" i="1"/>
  <c r="CX35" i="1" s="1"/>
  <c r="DA35" i="1" s="1"/>
  <c r="CH35" i="1"/>
  <c r="CI35" i="1" s="1"/>
  <c r="CH28" i="1"/>
  <c r="CI28" i="1" s="1"/>
  <c r="CH34" i="1"/>
  <c r="CI34" i="1" s="1"/>
  <c r="CW235" i="1"/>
  <c r="CX235" i="1" s="1"/>
  <c r="DA235" i="1" s="1"/>
  <c r="CW272" i="1"/>
  <c r="CX272" i="1" s="1"/>
  <c r="DA272" i="1" s="1"/>
  <c r="AG272" i="1"/>
  <c r="AH272" i="1" s="1"/>
  <c r="CS272" i="1"/>
  <c r="CD272" i="1"/>
  <c r="BO272" i="1"/>
  <c r="BP272" i="1" s="1"/>
  <c r="BS272" i="1"/>
  <c r="BT272" i="1" s="1"/>
  <c r="AK272" i="1"/>
  <c r="AL272" i="1" s="1"/>
  <c r="AS272" i="1"/>
  <c r="AT272" i="1" s="1"/>
  <c r="BZ272" i="1"/>
  <c r="CA272" i="1" s="1"/>
  <c r="AZ272" i="1"/>
  <c r="BA272" i="1" s="1"/>
  <c r="CH272" i="1"/>
  <c r="CI272" i="1" s="1"/>
  <c r="BH272" i="1"/>
  <c r="BI272" i="1" s="1"/>
  <c r="CL272" i="1"/>
  <c r="CM272" i="1" s="1"/>
  <c r="BD272" i="1"/>
  <c r="BE272" i="1" s="1"/>
  <c r="AC272" i="1"/>
  <c r="AD272" i="1" s="1"/>
  <c r="CL27" i="1"/>
  <c r="CM27" i="1" s="1"/>
  <c r="E32" i="11"/>
  <c r="AA115" i="6"/>
  <c r="E41" i="11"/>
  <c r="AJ115" i="6"/>
  <c r="BS235" i="1"/>
  <c r="BT235" i="1" s="1"/>
  <c r="BW235" i="1" s="1"/>
  <c r="CH235" i="1"/>
  <c r="CI235" i="1" s="1"/>
  <c r="CL235" i="1"/>
  <c r="CM235" i="1" s="1"/>
  <c r="AL225" i="1"/>
  <c r="AW225" i="1" s="1"/>
  <c r="CL225" i="1"/>
  <c r="CM225" i="1" s="1"/>
  <c r="BH225" i="1"/>
  <c r="BI225" i="1" s="1"/>
  <c r="BS225" i="1"/>
  <c r="BT225" i="1" s="1"/>
  <c r="BW225" i="1" s="1"/>
  <c r="CH225" i="1"/>
  <c r="CI225" i="1" s="1"/>
  <c r="BD225" i="1"/>
  <c r="BE225" i="1" s="1"/>
  <c r="AL221" i="1"/>
  <c r="AW221" i="1" s="1"/>
  <c r="BS221" i="1"/>
  <c r="BT221" i="1" s="1"/>
  <c r="BW221" i="1" s="1"/>
  <c r="BH221" i="1"/>
  <c r="BI221" i="1" s="1"/>
  <c r="BD221" i="1"/>
  <c r="BE221" i="1" s="1"/>
  <c r="CH221" i="1"/>
  <c r="CI221" i="1" s="1"/>
  <c r="CL221" i="1"/>
  <c r="CM221" i="1" s="1"/>
  <c r="E26" i="11"/>
  <c r="U115" i="6"/>
  <c r="CH220" i="1"/>
  <c r="CI220" i="1" s="1"/>
  <c r="CL220" i="1"/>
  <c r="CM220" i="1" s="1"/>
  <c r="BH220" i="1"/>
  <c r="BI220" i="1" s="1"/>
  <c r="BD220" i="1"/>
  <c r="BE220" i="1" s="1"/>
  <c r="BS220" i="1"/>
  <c r="BT220" i="1" s="1"/>
  <c r="BW220" i="1" s="1"/>
  <c r="BD226" i="1"/>
  <c r="BE226" i="1" s="1"/>
  <c r="BH226" i="1"/>
  <c r="BI226" i="1" s="1"/>
  <c r="CL226" i="1"/>
  <c r="CM226" i="1" s="1"/>
  <c r="CH226" i="1"/>
  <c r="CI226" i="1" s="1"/>
  <c r="BS226" i="1"/>
  <c r="BT226" i="1" s="1"/>
  <c r="BW226" i="1" s="1"/>
  <c r="BD231" i="1"/>
  <c r="BE231" i="1" s="1"/>
  <c r="BS231" i="1"/>
  <c r="BT231" i="1" s="1"/>
  <c r="BW231" i="1" s="1"/>
  <c r="CL231" i="1"/>
  <c r="CM231" i="1" s="1"/>
  <c r="BH231" i="1"/>
  <c r="BI231" i="1" s="1"/>
  <c r="CH231" i="1"/>
  <c r="CI231" i="1" s="1"/>
  <c r="E29" i="11"/>
  <c r="X115" i="6"/>
  <c r="E42" i="11"/>
  <c r="AK115" i="6"/>
  <c r="E39" i="11"/>
  <c r="AH115" i="6"/>
  <c r="E43" i="11"/>
  <c r="AL115" i="6"/>
  <c r="BD217" i="1"/>
  <c r="BE217" i="1" s="1"/>
  <c r="CL217" i="1"/>
  <c r="CM217" i="1" s="1"/>
  <c r="BS217" i="1"/>
  <c r="BT217" i="1" s="1"/>
  <c r="BW217" i="1" s="1"/>
  <c r="CH217" i="1"/>
  <c r="CI217" i="1" s="1"/>
  <c r="BH217" i="1"/>
  <c r="BI217" i="1" s="1"/>
  <c r="E30" i="11"/>
  <c r="Y115" i="6"/>
  <c r="E34" i="11"/>
  <c r="AC115" i="6"/>
  <c r="E33" i="11"/>
  <c r="AB115" i="6"/>
  <c r="E23" i="11"/>
  <c r="R115" i="6"/>
  <c r="BS237" i="1"/>
  <c r="BT237" i="1" s="1"/>
  <c r="BW237" i="1" s="1"/>
  <c r="CH237" i="1"/>
  <c r="CI237" i="1" s="1"/>
  <c r="CL237" i="1"/>
  <c r="CM237" i="1" s="1"/>
  <c r="AL224" i="1"/>
  <c r="AW224" i="1" s="1"/>
  <c r="CL224" i="1"/>
  <c r="CM224" i="1" s="1"/>
  <c r="BH224" i="1"/>
  <c r="BI224" i="1" s="1"/>
  <c r="BS224" i="1"/>
  <c r="BT224" i="1" s="1"/>
  <c r="BW224" i="1" s="1"/>
  <c r="BD224" i="1"/>
  <c r="BE224" i="1" s="1"/>
  <c r="CH224" i="1"/>
  <c r="CI224" i="1" s="1"/>
  <c r="E40" i="11"/>
  <c r="AI115" i="6"/>
  <c r="E19" i="11"/>
  <c r="N115" i="6"/>
  <c r="C37" i="1"/>
  <c r="B40" i="1"/>
  <c r="B242" i="1"/>
  <c r="B292" i="1"/>
  <c r="B236" i="1"/>
  <c r="B270" i="1"/>
  <c r="C279" i="1"/>
  <c r="B35" i="1"/>
  <c r="B240" i="1"/>
  <c r="BD230" i="1"/>
  <c r="BE230" i="1" s="1"/>
  <c r="BS230" i="1"/>
  <c r="BT230" i="1" s="1"/>
  <c r="BW230" i="1" s="1"/>
  <c r="CH230" i="1"/>
  <c r="CI230" i="1" s="1"/>
  <c r="CL230" i="1"/>
  <c r="CM230" i="1" s="1"/>
  <c r="E218" i="1"/>
  <c r="E38" i="1"/>
  <c r="B291" i="1"/>
  <c r="B288" i="1"/>
  <c r="E270" i="1"/>
  <c r="B47" i="1"/>
  <c r="B239" i="1"/>
  <c r="B217" i="1"/>
  <c r="E22" i="1"/>
  <c r="E232" i="1"/>
  <c r="E30" i="1"/>
  <c r="B229" i="1"/>
  <c r="C226" i="1"/>
  <c r="BS29" i="1"/>
  <c r="BT29" i="1" s="1"/>
  <c r="BW29" i="1" s="1"/>
  <c r="AK29" i="1"/>
  <c r="AL29" i="1" s="1"/>
  <c r="AW29" i="1" s="1"/>
  <c r="E222" i="1"/>
  <c r="E227" i="1"/>
  <c r="C237" i="1"/>
  <c r="B238" i="1"/>
  <c r="B37" i="1"/>
  <c r="B282" i="1"/>
  <c r="C31" i="1"/>
  <c r="C25" i="1"/>
  <c r="AS25" i="1" s="1"/>
  <c r="AT25" i="1" s="1"/>
  <c r="E241" i="1"/>
  <c r="DL241" i="1" s="1"/>
  <c r="DM241" i="1" s="1"/>
  <c r="BS37" i="1"/>
  <c r="BT37" i="1" s="1"/>
  <c r="BW37" i="1" s="1"/>
  <c r="E37" i="1"/>
  <c r="E26" i="1"/>
  <c r="E42" i="1"/>
  <c r="CL42" i="1" s="1"/>
  <c r="CM42" i="1" s="1"/>
  <c r="B271" i="1"/>
  <c r="P11" i="2"/>
  <c r="B218" i="1"/>
  <c r="B237" i="1"/>
  <c r="C290" i="1"/>
  <c r="B43" i="1"/>
  <c r="B285" i="1"/>
  <c r="B34" i="1"/>
  <c r="E242" i="1"/>
  <c r="DL242" i="1" s="1"/>
  <c r="DM242" i="1" s="1"/>
  <c r="C291" i="1"/>
  <c r="C24" i="1"/>
  <c r="AS24" i="1" s="1"/>
  <c r="AT24" i="1" s="1"/>
  <c r="AW24" i="1" s="1"/>
  <c r="C36" i="1"/>
  <c r="B233" i="1"/>
  <c r="E291" i="1"/>
  <c r="C220" i="1"/>
  <c r="E280" i="1"/>
  <c r="E29" i="1"/>
  <c r="E219" i="1"/>
  <c r="P12" i="2"/>
  <c r="C232" i="1"/>
  <c r="D13" i="1"/>
  <c r="P10" i="2"/>
  <c r="B11" i="2"/>
  <c r="B42" i="1"/>
  <c r="C30" i="1"/>
  <c r="D15" i="1"/>
  <c r="B232" i="1"/>
  <c r="E271" i="1"/>
  <c r="BS42" i="1"/>
  <c r="BT42" i="1" s="1"/>
  <c r="BW42" i="1" s="1"/>
  <c r="E273" i="1"/>
  <c r="C231" i="1"/>
  <c r="B38" i="1"/>
  <c r="BS33" i="1"/>
  <c r="BT33" i="1" s="1"/>
  <c r="BW33" i="1" s="1"/>
  <c r="B231" i="1"/>
  <c r="B10" i="2"/>
  <c r="E286" i="1"/>
  <c r="BS32" i="1"/>
  <c r="BT32" i="1" s="1"/>
  <c r="BW32" i="1" s="1"/>
  <c r="B286" i="1"/>
  <c r="C33" i="1"/>
  <c r="E236" i="1"/>
  <c r="E40" i="1"/>
  <c r="AK27" i="1"/>
  <c r="AL27" i="1" s="1"/>
  <c r="AW27" i="1" s="1"/>
  <c r="CW39" i="1"/>
  <c r="CX39" i="1" s="1"/>
  <c r="DA39" i="1" s="1"/>
  <c r="C292" i="1"/>
  <c r="CH233" i="1"/>
  <c r="CI233" i="1" s="1"/>
  <c r="BS233" i="1"/>
  <c r="BT233" i="1" s="1"/>
  <c r="BW233" i="1" s="1"/>
  <c r="CL233" i="1"/>
  <c r="CM233" i="1" s="1"/>
  <c r="O115" i="6"/>
  <c r="E281" i="1"/>
  <c r="BS34" i="1"/>
  <c r="BT34" i="1" s="1"/>
  <c r="BW34" i="1" s="1"/>
  <c r="E229" i="1"/>
  <c r="C22" i="1"/>
  <c r="AS22" i="1" s="1"/>
  <c r="AT22" i="1" s="1"/>
  <c r="B280" i="1"/>
  <c r="E234" i="1"/>
  <c r="D263" i="1"/>
  <c r="C270" i="1"/>
  <c r="E240" i="1"/>
  <c r="DL240" i="1" s="1"/>
  <c r="DM240" i="1" s="1"/>
  <c r="E45" i="1"/>
  <c r="D209" i="1"/>
  <c r="B25" i="1"/>
  <c r="B227" i="1"/>
  <c r="B29" i="1"/>
  <c r="CW31" i="1"/>
  <c r="CX31" i="1" s="1"/>
  <c r="DA31" i="1" s="1"/>
  <c r="E31" i="1"/>
  <c r="E44" i="1"/>
  <c r="AK26" i="1"/>
  <c r="AL26" i="1" s="1"/>
  <c r="AW26" i="1" s="1"/>
  <c r="CW26" i="1"/>
  <c r="CX26" i="1" s="1"/>
  <c r="DA26" i="1" s="1"/>
  <c r="E25" i="1"/>
  <c r="BS38" i="1"/>
  <c r="BT38" i="1" s="1"/>
  <c r="BW38" i="1" s="1"/>
  <c r="CW38" i="1"/>
  <c r="CX38" i="1" s="1"/>
  <c r="DA38" i="1" s="1"/>
  <c r="B221" i="1"/>
  <c r="B274" i="1"/>
  <c r="C221" i="1"/>
  <c r="B26" i="1"/>
  <c r="B284" i="1"/>
  <c r="B46" i="1"/>
  <c r="C26" i="1"/>
  <c r="C239" i="1"/>
  <c r="D210" i="1"/>
  <c r="B24" i="1"/>
  <c r="E284" i="1"/>
  <c r="E292" i="1"/>
  <c r="B279" i="1"/>
  <c r="C229" i="1"/>
  <c r="B276" i="1"/>
  <c r="E279" i="1"/>
  <c r="D262" i="1"/>
  <c r="B220" i="1"/>
  <c r="C29" i="1"/>
  <c r="Z115" i="6"/>
  <c r="B32" i="1"/>
  <c r="B277" i="1"/>
  <c r="BS25" i="1"/>
  <c r="BT25" i="1" s="1"/>
  <c r="BW25" i="1" s="1"/>
  <c r="CW25" i="1"/>
  <c r="CX25" i="1" s="1"/>
  <c r="DA25" i="1" s="1"/>
  <c r="B12" i="2"/>
  <c r="B294" i="1"/>
  <c r="B219" i="1"/>
  <c r="D208" i="1"/>
  <c r="C227" i="1"/>
  <c r="CH239" i="1"/>
  <c r="CI239" i="1" s="1"/>
  <c r="CL239" i="1"/>
  <c r="CM239" i="1" s="1"/>
  <c r="B31" i="1"/>
  <c r="B223" i="1"/>
  <c r="B273" i="1"/>
  <c r="B224" i="1"/>
  <c r="E41" i="1"/>
  <c r="CL41" i="1" s="1"/>
  <c r="CM41" i="1" s="1"/>
  <c r="B275" i="1"/>
  <c r="B272" i="1"/>
  <c r="T115" i="6"/>
  <c r="D261" i="1"/>
  <c r="C32" i="1"/>
  <c r="V115" i="6"/>
  <c r="B226" i="1"/>
  <c r="C34" i="1"/>
  <c r="B28" i="1"/>
  <c r="C277" i="1"/>
  <c r="BS31" i="1"/>
  <c r="BT31" i="1" s="1"/>
  <c r="BW31" i="1" s="1"/>
  <c r="BS22" i="1"/>
  <c r="BT22" i="1" s="1"/>
  <c r="BW22" i="1" s="1"/>
  <c r="E35" i="11"/>
  <c r="AD115" i="6"/>
  <c r="B30" i="1"/>
  <c r="C40" i="1"/>
  <c r="B222" i="1"/>
  <c r="C23" i="1"/>
  <c r="AS23" i="1" s="1"/>
  <c r="AT23" i="1" s="1"/>
  <c r="C282" i="1"/>
  <c r="C224" i="1"/>
  <c r="C38" i="1"/>
  <c r="CW23" i="1"/>
  <c r="CX23" i="1" s="1"/>
  <c r="DA23" i="1" s="1"/>
  <c r="AK23" i="1"/>
  <c r="AL23" i="1" s="1"/>
  <c r="E36" i="1"/>
  <c r="E238" i="1"/>
  <c r="B225" i="1"/>
  <c r="C235" i="1"/>
  <c r="B27" i="1"/>
  <c r="C218" i="1"/>
  <c r="BS36" i="1"/>
  <c r="BT36" i="1" s="1"/>
  <c r="BW36" i="1" s="1"/>
  <c r="B41" i="1"/>
  <c r="B283" i="1"/>
  <c r="B45" i="1"/>
  <c r="CW27" i="1"/>
  <c r="CX27" i="1" s="1"/>
  <c r="DA27" i="1" s="1"/>
  <c r="D14" i="1"/>
  <c r="BS30" i="1"/>
  <c r="BT30" i="1" s="1"/>
  <c r="BW30" i="1" s="1"/>
  <c r="AK30" i="1"/>
  <c r="AL30" i="1" s="1"/>
  <c r="AW30" i="1" s="1"/>
  <c r="AF115" i="6"/>
  <c r="BH230" i="1"/>
  <c r="BI230" i="1" s="1"/>
  <c r="E228" i="1"/>
  <c r="E223" i="1"/>
  <c r="BS43" i="1"/>
  <c r="BT43" i="1" s="1"/>
  <c r="BW43" i="1" s="1"/>
  <c r="CW40" i="1"/>
  <c r="CX40" i="1" s="1"/>
  <c r="DA40" i="1" s="1"/>
  <c r="DP14" i="1" l="1"/>
  <c r="DQ14" i="1" s="1"/>
  <c r="DL14" i="1"/>
  <c r="DM14" i="1" s="1"/>
  <c r="DT14" i="1"/>
  <c r="DU14" i="1" s="1"/>
  <c r="DP229" i="1"/>
  <c r="DQ229" i="1" s="1"/>
  <c r="DL229" i="1"/>
  <c r="DM229" i="1" s="1"/>
  <c r="DP238" i="1"/>
  <c r="DQ238" i="1" s="1"/>
  <c r="DL238" i="1"/>
  <c r="DM238" i="1" s="1"/>
  <c r="DL13" i="1"/>
  <c r="DM13" i="1" s="1"/>
  <c r="DP13" i="1"/>
  <c r="DQ13" i="1" s="1"/>
  <c r="DH13" i="1"/>
  <c r="DI13" i="1" s="1"/>
  <c r="DP222" i="1"/>
  <c r="DQ222" i="1" s="1"/>
  <c r="DL222" i="1"/>
  <c r="DM222" i="1" s="1"/>
  <c r="DL223" i="1"/>
  <c r="DM223" i="1" s="1"/>
  <c r="DP223" i="1"/>
  <c r="DQ223" i="1" s="1"/>
  <c r="DL227" i="1"/>
  <c r="DM227" i="1" s="1"/>
  <c r="DP227" i="1"/>
  <c r="DQ227" i="1" s="1"/>
  <c r="DP219" i="1"/>
  <c r="DQ219" i="1" s="1"/>
  <c r="DL219" i="1"/>
  <c r="DM219" i="1" s="1"/>
  <c r="DP228" i="1"/>
  <c r="DQ228" i="1" s="1"/>
  <c r="DL228" i="1"/>
  <c r="DM228" i="1" s="1"/>
  <c r="DL15" i="1"/>
  <c r="DM15" i="1" s="1"/>
  <c r="DT15" i="1"/>
  <c r="DU15" i="1" s="1"/>
  <c r="DP15" i="1"/>
  <c r="DQ15" i="1" s="1"/>
  <c r="DP232" i="1"/>
  <c r="DQ232" i="1" s="1"/>
  <c r="DL232" i="1"/>
  <c r="DM232" i="1" s="1"/>
  <c r="DP236" i="1"/>
  <c r="DQ236" i="1" s="1"/>
  <c r="DL236" i="1"/>
  <c r="DM236" i="1" s="1"/>
  <c r="DL234" i="1"/>
  <c r="DM234" i="1" s="1"/>
  <c r="DP234" i="1"/>
  <c r="DQ234" i="1" s="1"/>
  <c r="DP218" i="1"/>
  <c r="DQ218" i="1" s="1"/>
  <c r="DL218" i="1"/>
  <c r="DM218" i="1" s="1"/>
  <c r="DX295" i="1"/>
  <c r="EB295" i="1" s="1"/>
  <c r="BL221" i="1"/>
  <c r="DX294" i="1"/>
  <c r="EB294" i="1" s="1"/>
  <c r="DX47" i="1"/>
  <c r="EB47" i="1" s="1"/>
  <c r="EC47" i="1" s="1"/>
  <c r="DX43" i="1"/>
  <c r="EB43" i="1" s="1"/>
  <c r="DP262" i="1"/>
  <c r="DQ262" i="1" s="1"/>
  <c r="DL262" i="1"/>
  <c r="DM262" i="1" s="1"/>
  <c r="BL220" i="1"/>
  <c r="DP261" i="1"/>
  <c r="DQ261" i="1" s="1"/>
  <c r="DL261" i="1"/>
  <c r="DM261" i="1" s="1"/>
  <c r="DX46" i="1"/>
  <c r="EB46" i="1" s="1"/>
  <c r="DL263" i="1"/>
  <c r="DM263" i="1" s="1"/>
  <c r="DP263" i="1"/>
  <c r="DQ263" i="1" s="1"/>
  <c r="BL225" i="1"/>
  <c r="BL224" i="1"/>
  <c r="BL231" i="1"/>
  <c r="BL276" i="1"/>
  <c r="BL277" i="1"/>
  <c r="BL278" i="1"/>
  <c r="BL226" i="1"/>
  <c r="BL274" i="1"/>
  <c r="BL217" i="1"/>
  <c r="BL283" i="1"/>
  <c r="BL272" i="1"/>
  <c r="BL282" i="1"/>
  <c r="BL275" i="1"/>
  <c r="BL230" i="1"/>
  <c r="BH22" i="1"/>
  <c r="BI22" i="1" s="1"/>
  <c r="BW283" i="1"/>
  <c r="BW290" i="1"/>
  <c r="BW277" i="1"/>
  <c r="BW278" i="1"/>
  <c r="BW282" i="1"/>
  <c r="BW276" i="1"/>
  <c r="BW272" i="1"/>
  <c r="BW274" i="1"/>
  <c r="BW287" i="1"/>
  <c r="BW275" i="1"/>
  <c r="BW289" i="1"/>
  <c r="BW285" i="1"/>
  <c r="BW288" i="1"/>
  <c r="CP33" i="1"/>
  <c r="CP28" i="1"/>
  <c r="BH23" i="1"/>
  <c r="BI23" i="1" s="1"/>
  <c r="BL23" i="1" s="1"/>
  <c r="CP278" i="1"/>
  <c r="CP24" i="1"/>
  <c r="CP34" i="1"/>
  <c r="AW22" i="1"/>
  <c r="CP235" i="1"/>
  <c r="DX235" i="1" s="1"/>
  <c r="CP283" i="1"/>
  <c r="CP225" i="1"/>
  <c r="CP287" i="1"/>
  <c r="CP230" i="1"/>
  <c r="CP282" i="1"/>
  <c r="CP288" i="1"/>
  <c r="CP233" i="1"/>
  <c r="DX233" i="1" s="1"/>
  <c r="CP290" i="1"/>
  <c r="CP220" i="1"/>
  <c r="CP239" i="1"/>
  <c r="DX239" i="1" s="1"/>
  <c r="CP35" i="1"/>
  <c r="CP274" i="1"/>
  <c r="CP237" i="1"/>
  <c r="DX237" i="1" s="1"/>
  <c r="AW23" i="1"/>
  <c r="CP289" i="1"/>
  <c r="CP23" i="1"/>
  <c r="CP41" i="1"/>
  <c r="DX41" i="1" s="1"/>
  <c r="CP221" i="1"/>
  <c r="CP275" i="1"/>
  <c r="CP42" i="1"/>
  <c r="DX42" i="1" s="1"/>
  <c r="CP217" i="1"/>
  <c r="CP285" i="1"/>
  <c r="CP224" i="1"/>
  <c r="AW25" i="1"/>
  <c r="CP277" i="1"/>
  <c r="CP226" i="1"/>
  <c r="CP27" i="1"/>
  <c r="CP32" i="1"/>
  <c r="CP39" i="1"/>
  <c r="DX39" i="1" s="1"/>
  <c r="CP231" i="1"/>
  <c r="CP272" i="1"/>
  <c r="CP276" i="1"/>
  <c r="CP293" i="1"/>
  <c r="DX293" i="1" s="1"/>
  <c r="BD36" i="1"/>
  <c r="BE36" i="1" s="1"/>
  <c r="BH33" i="1"/>
  <c r="BI33" i="1" s="1"/>
  <c r="BL33" i="1" s="1"/>
  <c r="BD97" i="1"/>
  <c r="BE97" i="1" s="1"/>
  <c r="BH97" i="1"/>
  <c r="BI97" i="1" s="1"/>
  <c r="BD98" i="1"/>
  <c r="BE98" i="1" s="1"/>
  <c r="BH98" i="1"/>
  <c r="BI98" i="1" s="1"/>
  <c r="DH223" i="1"/>
  <c r="DI223" i="1" s="1"/>
  <c r="DT223" i="1"/>
  <c r="DU223" i="1" s="1"/>
  <c r="DT229" i="1"/>
  <c r="DU229" i="1" s="1"/>
  <c r="DH229" i="1"/>
  <c r="DI229" i="1" s="1"/>
  <c r="BH95" i="1"/>
  <c r="BI95" i="1" s="1"/>
  <c r="BD95" i="1"/>
  <c r="BE95" i="1" s="1"/>
  <c r="DT234" i="1"/>
  <c r="DU234" i="1" s="1"/>
  <c r="DH234" i="1"/>
  <c r="DI234" i="1" s="1"/>
  <c r="BD99" i="1"/>
  <c r="BE99" i="1" s="1"/>
  <c r="BH99" i="1"/>
  <c r="BI99" i="1" s="1"/>
  <c r="DT228" i="1"/>
  <c r="DU228" i="1" s="1"/>
  <c r="DH228" i="1"/>
  <c r="DI228" i="1" s="1"/>
  <c r="BH96" i="1"/>
  <c r="BI96" i="1" s="1"/>
  <c r="BD96" i="1"/>
  <c r="BE96" i="1" s="1"/>
  <c r="BH105" i="1"/>
  <c r="BI105" i="1" s="1"/>
  <c r="BD105" i="1"/>
  <c r="BE105" i="1" s="1"/>
  <c r="BD101" i="1"/>
  <c r="BE101" i="1" s="1"/>
  <c r="BH101" i="1"/>
  <c r="BI101" i="1" s="1"/>
  <c r="DH236" i="1"/>
  <c r="DI236" i="1" s="1"/>
  <c r="DT236" i="1"/>
  <c r="DU236" i="1" s="1"/>
  <c r="BH104" i="1"/>
  <c r="BI104" i="1" s="1"/>
  <c r="BD104" i="1"/>
  <c r="BE104" i="1" s="1"/>
  <c r="DH238" i="1"/>
  <c r="DI238" i="1" s="1"/>
  <c r="DT238" i="1"/>
  <c r="DU238" i="1" s="1"/>
  <c r="DT227" i="1"/>
  <c r="DU227" i="1" s="1"/>
  <c r="DH227" i="1"/>
  <c r="DI227" i="1" s="1"/>
  <c r="BD93" i="1"/>
  <c r="BE93" i="1" s="1"/>
  <c r="BH93" i="1"/>
  <c r="BI93" i="1" s="1"/>
  <c r="DH222" i="1"/>
  <c r="DI222" i="1" s="1"/>
  <c r="DT222" i="1"/>
  <c r="DU222" i="1" s="1"/>
  <c r="BH94" i="1"/>
  <c r="BI94" i="1" s="1"/>
  <c r="BD94" i="1"/>
  <c r="BE94" i="1" s="1"/>
  <c r="DH242" i="1"/>
  <c r="DI242" i="1" s="1"/>
  <c r="DT242" i="1"/>
  <c r="DU242" i="1" s="1"/>
  <c r="BD100" i="1"/>
  <c r="BE100" i="1" s="1"/>
  <c r="BH100" i="1"/>
  <c r="BI100" i="1" s="1"/>
  <c r="DT232" i="1"/>
  <c r="DU232" i="1" s="1"/>
  <c r="DH232" i="1"/>
  <c r="DI232" i="1" s="1"/>
  <c r="BD92" i="1"/>
  <c r="BE92" i="1" s="1"/>
  <c r="BH92" i="1"/>
  <c r="BI92" i="1" s="1"/>
  <c r="BH103" i="1"/>
  <c r="BI103" i="1" s="1"/>
  <c r="BD103" i="1"/>
  <c r="BE103" i="1" s="1"/>
  <c r="DH240" i="1"/>
  <c r="DI240" i="1" s="1"/>
  <c r="DT240" i="1"/>
  <c r="DU240" i="1" s="1"/>
  <c r="DH219" i="1"/>
  <c r="DI219" i="1" s="1"/>
  <c r="DT219" i="1"/>
  <c r="DU219" i="1" s="1"/>
  <c r="DH241" i="1"/>
  <c r="DI241" i="1" s="1"/>
  <c r="DT241" i="1"/>
  <c r="DU241" i="1" s="1"/>
  <c r="DT218" i="1"/>
  <c r="DU218" i="1" s="1"/>
  <c r="DH218" i="1"/>
  <c r="DI218" i="1" s="1"/>
  <c r="BH106" i="1"/>
  <c r="BI106" i="1" s="1"/>
  <c r="BD106" i="1"/>
  <c r="BE106" i="1" s="1"/>
  <c r="BD102" i="1"/>
  <c r="BE102" i="1" s="1"/>
  <c r="BH102" i="1"/>
  <c r="BI102" i="1" s="1"/>
  <c r="B148" i="1"/>
  <c r="B84" i="1"/>
  <c r="CH14" i="1"/>
  <c r="CI14" i="1" s="1"/>
  <c r="DH14" i="1"/>
  <c r="DI14" i="1" s="1"/>
  <c r="CH13" i="1"/>
  <c r="CI13" i="1" s="1"/>
  <c r="DH262" i="1"/>
  <c r="DI262" i="1" s="1"/>
  <c r="DT262" i="1"/>
  <c r="DU262" i="1" s="1"/>
  <c r="DD262" i="1"/>
  <c r="DE262" i="1" s="1"/>
  <c r="B149" i="1"/>
  <c r="B85" i="1"/>
  <c r="DT261" i="1"/>
  <c r="DU261" i="1" s="1"/>
  <c r="DD261" i="1"/>
  <c r="DE261" i="1" s="1"/>
  <c r="DH261" i="1"/>
  <c r="DI261" i="1" s="1"/>
  <c r="B147" i="1"/>
  <c r="B83" i="1"/>
  <c r="E147" i="1"/>
  <c r="E83" i="1"/>
  <c r="DT263" i="1"/>
  <c r="DU263" i="1" s="1"/>
  <c r="DH263" i="1"/>
  <c r="DI263" i="1" s="1"/>
  <c r="DD263" i="1"/>
  <c r="DE263" i="1" s="1"/>
  <c r="C147" i="1"/>
  <c r="C83" i="1"/>
  <c r="BH147" i="1"/>
  <c r="BI147" i="1" s="1"/>
  <c r="CS147" i="1"/>
  <c r="CT147" i="1" s="1"/>
  <c r="DA147" i="1" s="1"/>
  <c r="BD147" i="1"/>
  <c r="BE147" i="1" s="1"/>
  <c r="AS147" i="1"/>
  <c r="AT147" i="1" s="1"/>
  <c r="AZ147" i="1"/>
  <c r="BA147" i="1" s="1"/>
  <c r="N147" i="1"/>
  <c r="O147" i="1" s="1"/>
  <c r="AC147" i="1"/>
  <c r="AD147" i="1" s="1"/>
  <c r="BZ147" i="1"/>
  <c r="CA147" i="1" s="1"/>
  <c r="R147" i="1"/>
  <c r="S147" i="1" s="1"/>
  <c r="AG147" i="1"/>
  <c r="AH147" i="1" s="1"/>
  <c r="CD147" i="1"/>
  <c r="CE147" i="1" s="1"/>
  <c r="AO147" i="1"/>
  <c r="AP147" i="1" s="1"/>
  <c r="Y147" i="1"/>
  <c r="Z147" i="1" s="1"/>
  <c r="CL147" i="1"/>
  <c r="CM147" i="1" s="1"/>
  <c r="D149" i="1"/>
  <c r="DD149" i="1" s="1"/>
  <c r="DE149" i="1" s="1"/>
  <c r="D85" i="1"/>
  <c r="E12" i="2"/>
  <c r="E263" i="1" s="1"/>
  <c r="C12" i="2"/>
  <c r="C210" i="1" s="1"/>
  <c r="C148" i="1"/>
  <c r="C84" i="1"/>
  <c r="CH15" i="1"/>
  <c r="CI15" i="1" s="1"/>
  <c r="DH15" i="1"/>
  <c r="DI15" i="1" s="1"/>
  <c r="E148" i="1"/>
  <c r="E84" i="1"/>
  <c r="AG148" i="1"/>
  <c r="AH148" i="1" s="1"/>
  <c r="R148" i="1"/>
  <c r="S148" i="1" s="1"/>
  <c r="BZ148" i="1"/>
  <c r="CA148" i="1" s="1"/>
  <c r="N148" i="1"/>
  <c r="O148" i="1" s="1"/>
  <c r="AO148" i="1"/>
  <c r="AP148" i="1" s="1"/>
  <c r="AC148" i="1"/>
  <c r="AD148" i="1" s="1"/>
  <c r="Y148" i="1"/>
  <c r="Z148" i="1" s="1"/>
  <c r="AZ148" i="1"/>
  <c r="BA148" i="1" s="1"/>
  <c r="AS148" i="1"/>
  <c r="AT148" i="1" s="1"/>
  <c r="BH148" i="1"/>
  <c r="BI148" i="1" s="1"/>
  <c r="BD148" i="1"/>
  <c r="BE148" i="1" s="1"/>
  <c r="CD148" i="1"/>
  <c r="CE148" i="1" s="1"/>
  <c r="CS148" i="1"/>
  <c r="CT148" i="1" s="1"/>
  <c r="DA148" i="1" s="1"/>
  <c r="CL148" i="1"/>
  <c r="CM148" i="1" s="1"/>
  <c r="AW278" i="1"/>
  <c r="AW274" i="1"/>
  <c r="CL25" i="1"/>
  <c r="CM25" i="1" s="1"/>
  <c r="CP25" i="1" s="1"/>
  <c r="CL40" i="1"/>
  <c r="CM40" i="1" s="1"/>
  <c r="CP40" i="1" s="1"/>
  <c r="DX40" i="1" s="1"/>
  <c r="BD24" i="1"/>
  <c r="BE24" i="1" s="1"/>
  <c r="BH24" i="1"/>
  <c r="BI24" i="1" s="1"/>
  <c r="BD25" i="1"/>
  <c r="BE25" i="1" s="1"/>
  <c r="BH25" i="1"/>
  <c r="BI25" i="1" s="1"/>
  <c r="CL30" i="1"/>
  <c r="CM30" i="1" s="1"/>
  <c r="CP30" i="1" s="1"/>
  <c r="BH35" i="1"/>
  <c r="BI35" i="1" s="1"/>
  <c r="BD35" i="1"/>
  <c r="BE35" i="1" s="1"/>
  <c r="AG208" i="1"/>
  <c r="AS208" i="1"/>
  <c r="AK208" i="1"/>
  <c r="N208" i="1"/>
  <c r="AC208" i="1"/>
  <c r="Y208" i="1"/>
  <c r="R208" i="1"/>
  <c r="BD32" i="1"/>
  <c r="BE32" i="1" s="1"/>
  <c r="BH32" i="1"/>
  <c r="BI32" i="1" s="1"/>
  <c r="AS209" i="1"/>
  <c r="N209" i="1"/>
  <c r="AC209" i="1"/>
  <c r="Y209" i="1"/>
  <c r="AG209" i="1"/>
  <c r="R209" i="1"/>
  <c r="AK209" i="1"/>
  <c r="AZ263" i="1"/>
  <c r="CH263" i="1"/>
  <c r="BD263" i="1"/>
  <c r="BZ263" i="1"/>
  <c r="CS263" i="1"/>
  <c r="CT263" i="1" s="1"/>
  <c r="CL263" i="1"/>
  <c r="BS263" i="1"/>
  <c r="CW263" i="1"/>
  <c r="CX263" i="1" s="1"/>
  <c r="R263" i="1"/>
  <c r="AC263" i="1"/>
  <c r="BO263" i="1"/>
  <c r="AK263" i="1"/>
  <c r="Y263" i="1"/>
  <c r="AS263" i="1"/>
  <c r="BH263" i="1"/>
  <c r="N263" i="1"/>
  <c r="AG263" i="1"/>
  <c r="CD263" i="1"/>
  <c r="CW232" i="1"/>
  <c r="CX232" i="1" s="1"/>
  <c r="DA232" i="1" s="1"/>
  <c r="CW234" i="1"/>
  <c r="CX234" i="1" s="1"/>
  <c r="DA234" i="1" s="1"/>
  <c r="CL22" i="1"/>
  <c r="CM22" i="1" s="1"/>
  <c r="CP22" i="1" s="1"/>
  <c r="BD28" i="1"/>
  <c r="BE28" i="1" s="1"/>
  <c r="BH28" i="1"/>
  <c r="BI28" i="1" s="1"/>
  <c r="CL44" i="1"/>
  <c r="CM44" i="1" s="1"/>
  <c r="CP44" i="1" s="1"/>
  <c r="DX44" i="1" s="1"/>
  <c r="CW227" i="1"/>
  <c r="CX227" i="1" s="1"/>
  <c r="DA227" i="1" s="1"/>
  <c r="N210" i="1"/>
  <c r="AC210" i="1"/>
  <c r="Y210" i="1"/>
  <c r="AK210" i="1"/>
  <c r="R210" i="1"/>
  <c r="AG210" i="1"/>
  <c r="AS210" i="1"/>
  <c r="CW223" i="1"/>
  <c r="CX223" i="1" s="1"/>
  <c r="DA223" i="1" s="1"/>
  <c r="BD262" i="1"/>
  <c r="BZ262" i="1"/>
  <c r="AK262" i="1"/>
  <c r="BO262" i="1"/>
  <c r="CL262" i="1"/>
  <c r="CH262" i="1"/>
  <c r="CW262" i="1"/>
  <c r="CX262" i="1" s="1"/>
  <c r="CS262" i="1"/>
  <c r="CT262" i="1" s="1"/>
  <c r="R262" i="1"/>
  <c r="N262" i="1"/>
  <c r="BS262" i="1"/>
  <c r="BH262" i="1"/>
  <c r="AZ262" i="1"/>
  <c r="AG262" i="1"/>
  <c r="CD262" i="1"/>
  <c r="AS262" i="1"/>
  <c r="Y262" i="1"/>
  <c r="AC262" i="1"/>
  <c r="CL31" i="1"/>
  <c r="CM31" i="1" s="1"/>
  <c r="CP31" i="1" s="1"/>
  <c r="CW222" i="1"/>
  <c r="CX222" i="1" s="1"/>
  <c r="DA222" i="1" s="1"/>
  <c r="CL36" i="1"/>
  <c r="CM36" i="1" s="1"/>
  <c r="CP36" i="1" s="1"/>
  <c r="CW219" i="1"/>
  <c r="CX219" i="1" s="1"/>
  <c r="DA219" i="1" s="1"/>
  <c r="CL38" i="1"/>
  <c r="CM38" i="1" s="1"/>
  <c r="CP38" i="1" s="1"/>
  <c r="DX38" i="1" s="1"/>
  <c r="BH26" i="1"/>
  <c r="BI26" i="1" s="1"/>
  <c r="BD26" i="1"/>
  <c r="BE26" i="1" s="1"/>
  <c r="CW218" i="1"/>
  <c r="CX218" i="1" s="1"/>
  <c r="DA218" i="1" s="1"/>
  <c r="CH261" i="1"/>
  <c r="BD261" i="1"/>
  <c r="CS261" i="1"/>
  <c r="CT261" i="1" s="1"/>
  <c r="BS261" i="1"/>
  <c r="AK261" i="1"/>
  <c r="AG261" i="1"/>
  <c r="R261" i="1"/>
  <c r="Y261" i="1"/>
  <c r="AS261" i="1"/>
  <c r="AZ261" i="1"/>
  <c r="CW261" i="1"/>
  <c r="CX261" i="1" s="1"/>
  <c r="BH261" i="1"/>
  <c r="BO261" i="1"/>
  <c r="CL261" i="1"/>
  <c r="BZ261" i="1"/>
  <c r="AC261" i="1"/>
  <c r="N261" i="1"/>
  <c r="CD261" i="1"/>
  <c r="CL45" i="1"/>
  <c r="CM45" i="1" s="1"/>
  <c r="CP45" i="1" s="1"/>
  <c r="DX45" i="1" s="1"/>
  <c r="CW229" i="1"/>
  <c r="CX229" i="1" s="1"/>
  <c r="DA229" i="1" s="1"/>
  <c r="CL29" i="1"/>
  <c r="CM29" i="1" s="1"/>
  <c r="CP29" i="1" s="1"/>
  <c r="BH34" i="1"/>
  <c r="BI34" i="1" s="1"/>
  <c r="BD34" i="1"/>
  <c r="BE34" i="1" s="1"/>
  <c r="CL26" i="1"/>
  <c r="CM26" i="1" s="1"/>
  <c r="CP26" i="1" s="1"/>
  <c r="CW228" i="1"/>
  <c r="CX228" i="1" s="1"/>
  <c r="DA228" i="1" s="1"/>
  <c r="BD31" i="1"/>
  <c r="BE31" i="1" s="1"/>
  <c r="BH31" i="1"/>
  <c r="BI31" i="1" s="1"/>
  <c r="AW277" i="1"/>
  <c r="BH27" i="1"/>
  <c r="BI27" i="1" s="1"/>
  <c r="BD27" i="1"/>
  <c r="BE27" i="1" s="1"/>
  <c r="BH30" i="1"/>
  <c r="BI30" i="1" s="1"/>
  <c r="BD30" i="1"/>
  <c r="BE30" i="1" s="1"/>
  <c r="CL37" i="1"/>
  <c r="CM37" i="1" s="1"/>
  <c r="CP37" i="1" s="1"/>
  <c r="DX37" i="1" s="1"/>
  <c r="BH29" i="1"/>
  <c r="BI29" i="1" s="1"/>
  <c r="BD29" i="1"/>
  <c r="BE29" i="1" s="1"/>
  <c r="AW276" i="1"/>
  <c r="AD271" i="1"/>
  <c r="CI271" i="1"/>
  <c r="BA271" i="1"/>
  <c r="BI271" i="1"/>
  <c r="AL271" i="1"/>
  <c r="BE271" i="1"/>
  <c r="BP271" i="1"/>
  <c r="AT271" i="1"/>
  <c r="CM271" i="1"/>
  <c r="BT271" i="1"/>
  <c r="AH271" i="1"/>
  <c r="CA271" i="1"/>
  <c r="C13" i="1"/>
  <c r="AS13" i="1" s="1"/>
  <c r="AT13" i="1" s="1"/>
  <c r="C261" i="1"/>
  <c r="C208" i="1"/>
  <c r="AD270" i="1"/>
  <c r="BA270" i="1"/>
  <c r="CI270" i="1"/>
  <c r="BT270" i="1"/>
  <c r="BP270" i="1"/>
  <c r="BE270" i="1"/>
  <c r="AT270" i="1"/>
  <c r="BI270" i="1"/>
  <c r="AL270" i="1"/>
  <c r="AH270" i="1"/>
  <c r="CM270" i="1"/>
  <c r="CA270" i="1"/>
  <c r="E12" i="11"/>
  <c r="G115" i="6"/>
  <c r="B210" i="1"/>
  <c r="B263" i="1"/>
  <c r="B15" i="1"/>
  <c r="BD229" i="1"/>
  <c r="BE229" i="1" s="1"/>
  <c r="BS229" i="1"/>
  <c r="BT229" i="1" s="1"/>
  <c r="BW229" i="1" s="1"/>
  <c r="CH229" i="1"/>
  <c r="CI229" i="1" s="1"/>
  <c r="BH229" i="1"/>
  <c r="BI229" i="1" s="1"/>
  <c r="CL229" i="1"/>
  <c r="CM229" i="1" s="1"/>
  <c r="AW275" i="1"/>
  <c r="C262" i="1"/>
  <c r="C14" i="1"/>
  <c r="AS14" i="1" s="1"/>
  <c r="AT14" i="1" s="1"/>
  <c r="C209" i="1"/>
  <c r="E209" i="1"/>
  <c r="E14" i="1"/>
  <c r="E262" i="1"/>
  <c r="CH232" i="1"/>
  <c r="CI232" i="1" s="1"/>
  <c r="BS232" i="1"/>
  <c r="BT232" i="1" s="1"/>
  <c r="BW232" i="1" s="1"/>
  <c r="CL232" i="1"/>
  <c r="CM232" i="1" s="1"/>
  <c r="CI279" i="1"/>
  <c r="AD279" i="1"/>
  <c r="BT279" i="1"/>
  <c r="BI279" i="1"/>
  <c r="CM279" i="1"/>
  <c r="BA279" i="1"/>
  <c r="BP279" i="1"/>
  <c r="CA279" i="1"/>
  <c r="BE279" i="1"/>
  <c r="AH279" i="1"/>
  <c r="AW279" i="1" s="1"/>
  <c r="AW272" i="1"/>
  <c r="AD286" i="1"/>
  <c r="BP286" i="1"/>
  <c r="BT286" i="1"/>
  <c r="CI286" i="1"/>
  <c r="CM286" i="1"/>
  <c r="AH286" i="1"/>
  <c r="AW286" i="1" s="1"/>
  <c r="BA286" i="1"/>
  <c r="BL286" i="1" s="1"/>
  <c r="CA286" i="1"/>
  <c r="AW217" i="1"/>
  <c r="AK14" i="1"/>
  <c r="AL14" i="1" s="1"/>
  <c r="CW14" i="1"/>
  <c r="CX14" i="1" s="1"/>
  <c r="DA14" i="1" s="1"/>
  <c r="BS14" i="1"/>
  <c r="BT14" i="1" s="1"/>
  <c r="BW14" i="1" s="1"/>
  <c r="AK15" i="1"/>
  <c r="AL15" i="1" s="1"/>
  <c r="CW15" i="1"/>
  <c r="CX15" i="1" s="1"/>
  <c r="DA15" i="1" s="1"/>
  <c r="BS15" i="1"/>
  <c r="BT15" i="1" s="1"/>
  <c r="BW15" i="1" s="1"/>
  <c r="AH219" i="1"/>
  <c r="CH219" i="1"/>
  <c r="CI219" i="1" s="1"/>
  <c r="CL219" i="1"/>
  <c r="CM219" i="1" s="1"/>
  <c r="AT219" i="1"/>
  <c r="AL219" i="1"/>
  <c r="BS219" i="1"/>
  <c r="BT219" i="1" s="1"/>
  <c r="BW219" i="1" s="1"/>
  <c r="BH219" i="1"/>
  <c r="BI219" i="1" s="1"/>
  <c r="BD219" i="1"/>
  <c r="BE219" i="1" s="1"/>
  <c r="E11" i="11"/>
  <c r="F115" i="6"/>
  <c r="BE22" i="1"/>
  <c r="BD227" i="1"/>
  <c r="BE227" i="1" s="1"/>
  <c r="CH227" i="1"/>
  <c r="CI227" i="1" s="1"/>
  <c r="BS227" i="1"/>
  <c r="BT227" i="1" s="1"/>
  <c r="BW227" i="1" s="1"/>
  <c r="CL227" i="1"/>
  <c r="CM227" i="1" s="1"/>
  <c r="BH227" i="1"/>
  <c r="BI227" i="1" s="1"/>
  <c r="AL223" i="1"/>
  <c r="AW223" i="1" s="1"/>
  <c r="CH223" i="1"/>
  <c r="CI223" i="1" s="1"/>
  <c r="BS223" i="1"/>
  <c r="BT223" i="1" s="1"/>
  <c r="BW223" i="1" s="1"/>
  <c r="CL223" i="1"/>
  <c r="CM223" i="1" s="1"/>
  <c r="BH223" i="1"/>
  <c r="BI223" i="1" s="1"/>
  <c r="BD223" i="1"/>
  <c r="BE223" i="1" s="1"/>
  <c r="BS234" i="1"/>
  <c r="BT234" i="1" s="1"/>
  <c r="BW234" i="1" s="1"/>
  <c r="CH234" i="1"/>
  <c r="CI234" i="1" s="1"/>
  <c r="CL234" i="1"/>
  <c r="CM234" i="1" s="1"/>
  <c r="AD281" i="1"/>
  <c r="BA281" i="1"/>
  <c r="AH281" i="1"/>
  <c r="AW281" i="1" s="1"/>
  <c r="BE281" i="1"/>
  <c r="CM281" i="1"/>
  <c r="BT281" i="1"/>
  <c r="BI281" i="1"/>
  <c r="BP281" i="1"/>
  <c r="CI281" i="1"/>
  <c r="CA281" i="1"/>
  <c r="B13" i="1"/>
  <c r="B261" i="1"/>
  <c r="B208" i="1"/>
  <c r="AL222" i="1"/>
  <c r="AW222" i="1" s="1"/>
  <c r="CL222" i="1"/>
  <c r="CM222" i="1" s="1"/>
  <c r="BH222" i="1"/>
  <c r="BI222" i="1" s="1"/>
  <c r="CH222" i="1"/>
  <c r="CI222" i="1" s="1"/>
  <c r="BD222" i="1"/>
  <c r="BE222" i="1" s="1"/>
  <c r="BS222" i="1"/>
  <c r="BT222" i="1" s="1"/>
  <c r="BW222" i="1" s="1"/>
  <c r="BP280" i="1"/>
  <c r="AD280" i="1"/>
  <c r="BA280" i="1"/>
  <c r="AH280" i="1"/>
  <c r="AW280" i="1" s="1"/>
  <c r="CI280" i="1"/>
  <c r="BT280" i="1"/>
  <c r="CM280" i="1"/>
  <c r="BE280" i="1"/>
  <c r="BI280" i="1"/>
  <c r="CA280" i="1"/>
  <c r="BS238" i="1"/>
  <c r="BT238" i="1" s="1"/>
  <c r="BW238" i="1" s="1"/>
  <c r="CH238" i="1"/>
  <c r="CI238" i="1" s="1"/>
  <c r="CL238" i="1"/>
  <c r="CM238" i="1" s="1"/>
  <c r="AD292" i="1"/>
  <c r="BA292" i="1"/>
  <c r="BL292" i="1" s="1"/>
  <c r="CI292" i="1"/>
  <c r="AH292" i="1"/>
  <c r="AW292" i="1" s="1"/>
  <c r="BP292" i="1"/>
  <c r="BW292" i="1" s="1"/>
  <c r="CA292" i="1"/>
  <c r="CM292" i="1"/>
  <c r="CL236" i="1"/>
  <c r="CM236" i="1" s="1"/>
  <c r="BS236" i="1"/>
  <c r="BT236" i="1" s="1"/>
  <c r="BW236" i="1" s="1"/>
  <c r="CH236" i="1"/>
  <c r="CI236" i="1" s="1"/>
  <c r="AD273" i="1"/>
  <c r="CI273" i="1"/>
  <c r="AL273" i="1"/>
  <c r="AT273" i="1"/>
  <c r="CM273" i="1"/>
  <c r="BA273" i="1"/>
  <c r="BE273" i="1"/>
  <c r="AH273" i="1"/>
  <c r="BP273" i="1"/>
  <c r="BT273" i="1"/>
  <c r="CA273" i="1"/>
  <c r="BI273" i="1"/>
  <c r="B262" i="1"/>
  <c r="B14" i="1"/>
  <c r="B209" i="1"/>
  <c r="BD228" i="1"/>
  <c r="BE228" i="1" s="1"/>
  <c r="CL228" i="1"/>
  <c r="CM228" i="1" s="1"/>
  <c r="CH228" i="1"/>
  <c r="CI228" i="1" s="1"/>
  <c r="BS228" i="1"/>
  <c r="BT228" i="1" s="1"/>
  <c r="BW228" i="1" s="1"/>
  <c r="BH228" i="1"/>
  <c r="BI228" i="1" s="1"/>
  <c r="BI36" i="1"/>
  <c r="E10" i="11"/>
  <c r="E115" i="6"/>
  <c r="CI284" i="1"/>
  <c r="AD284" i="1"/>
  <c r="BE284" i="1"/>
  <c r="CM284" i="1"/>
  <c r="BA284" i="1"/>
  <c r="CA284" i="1"/>
  <c r="BP284" i="1"/>
  <c r="AH284" i="1"/>
  <c r="AW284" i="1" s="1"/>
  <c r="BI284" i="1"/>
  <c r="BT284" i="1"/>
  <c r="E208" i="1"/>
  <c r="E13" i="1"/>
  <c r="E261" i="1"/>
  <c r="AH218" i="1"/>
  <c r="AT218" i="1"/>
  <c r="AL218" i="1"/>
  <c r="BH218" i="1"/>
  <c r="BI218" i="1" s="1"/>
  <c r="CL218" i="1"/>
  <c r="CM218" i="1" s="1"/>
  <c r="BD218" i="1"/>
  <c r="BE218" i="1" s="1"/>
  <c r="BS218" i="1"/>
  <c r="BT218" i="1" s="1"/>
  <c r="BW218" i="1" s="1"/>
  <c r="CH218" i="1"/>
  <c r="CI218" i="1" s="1"/>
  <c r="BS13" i="1"/>
  <c r="BT13" i="1" s="1"/>
  <c r="BW13" i="1" s="1"/>
  <c r="AK13" i="1"/>
  <c r="AL13" i="1" s="1"/>
  <c r="CW13" i="1"/>
  <c r="CX13" i="1" s="1"/>
  <c r="DA13" i="1" s="1"/>
  <c r="AW220" i="1"/>
  <c r="CH240" i="1"/>
  <c r="CI240" i="1" s="1"/>
  <c r="CL240" i="1"/>
  <c r="CM240" i="1" s="1"/>
  <c r="AD291" i="1"/>
  <c r="CM291" i="1"/>
  <c r="BP291" i="1"/>
  <c r="CI291" i="1"/>
  <c r="BT291" i="1"/>
  <c r="BA291" i="1"/>
  <c r="BL291" i="1" s="1"/>
  <c r="AH291" i="1"/>
  <c r="AW291" i="1" s="1"/>
  <c r="CA291" i="1"/>
  <c r="DX221" i="1" l="1"/>
  <c r="DD208" i="1"/>
  <c r="DE208" i="1" s="1"/>
  <c r="DP208" i="1"/>
  <c r="DQ208" i="1" s="1"/>
  <c r="DL208" i="1"/>
  <c r="DM208" i="1" s="1"/>
  <c r="DD209" i="1"/>
  <c r="DE209" i="1" s="1"/>
  <c r="DL209" i="1"/>
  <c r="DM209" i="1" s="1"/>
  <c r="DP209" i="1"/>
  <c r="DQ209" i="1" s="1"/>
  <c r="DX272" i="1"/>
  <c r="DX285" i="1"/>
  <c r="DX290" i="1"/>
  <c r="EB290" i="1" s="1"/>
  <c r="DX226" i="1"/>
  <c r="DX220" i="1"/>
  <c r="BL95" i="1"/>
  <c r="DX95" i="1" s="1"/>
  <c r="EB95" i="1" s="1"/>
  <c r="DX283" i="1"/>
  <c r="DX230" i="1"/>
  <c r="DX217" i="1"/>
  <c r="DX225" i="1"/>
  <c r="DX287" i="1"/>
  <c r="EB287" i="1" s="1"/>
  <c r="DX224" i="1"/>
  <c r="DX288" i="1"/>
  <c r="EB288" i="1" s="1"/>
  <c r="DX241" i="1"/>
  <c r="EB241" i="1" s="1"/>
  <c r="D43" i="9" s="1"/>
  <c r="DX289" i="1"/>
  <c r="EB289" i="1" s="1"/>
  <c r="BL96" i="1"/>
  <c r="DX96" i="1" s="1"/>
  <c r="EB96" i="1" s="1"/>
  <c r="C23" i="9" s="1"/>
  <c r="DX282" i="1"/>
  <c r="DX23" i="1"/>
  <c r="DX242" i="1"/>
  <c r="EB242" i="1" s="1"/>
  <c r="D44" i="9" s="1"/>
  <c r="DX275" i="1"/>
  <c r="DX277" i="1"/>
  <c r="DX231" i="1"/>
  <c r="DX276" i="1"/>
  <c r="DX274" i="1"/>
  <c r="DX33" i="1"/>
  <c r="DX278" i="1"/>
  <c r="EB239" i="1"/>
  <c r="D41" i="9" s="1"/>
  <c r="BL34" i="1"/>
  <c r="DX34" i="1" s="1"/>
  <c r="BL27" i="1"/>
  <c r="DX27" i="1" s="1"/>
  <c r="BL105" i="1"/>
  <c r="DX105" i="1" s="1"/>
  <c r="BL25" i="1"/>
  <c r="DX25" i="1" s="1"/>
  <c r="BL223" i="1"/>
  <c r="BL227" i="1"/>
  <c r="BL219" i="1"/>
  <c r="BL104" i="1"/>
  <c r="DX104" i="1" s="1"/>
  <c r="BL218" i="1"/>
  <c r="BL29" i="1"/>
  <c r="DX29" i="1" s="1"/>
  <c r="BL103" i="1"/>
  <c r="DX103" i="1" s="1"/>
  <c r="EB103" i="1" s="1"/>
  <c r="BL148" i="1"/>
  <c r="BL94" i="1"/>
  <c r="DX94" i="1" s="1"/>
  <c r="EB94" i="1" s="1"/>
  <c r="BL101" i="1"/>
  <c r="DX101" i="1" s="1"/>
  <c r="EB101" i="1" s="1"/>
  <c r="C28" i="9" s="1"/>
  <c r="BL97" i="1"/>
  <c r="DX97" i="1" s="1"/>
  <c r="EB97" i="1" s="1"/>
  <c r="BL31" i="1"/>
  <c r="DX31" i="1" s="1"/>
  <c r="BL35" i="1"/>
  <c r="DX35" i="1" s="1"/>
  <c r="BL36" i="1"/>
  <c r="DX36" i="1" s="1"/>
  <c r="BL100" i="1"/>
  <c r="DX100" i="1" s="1"/>
  <c r="BL93" i="1"/>
  <c r="DX93" i="1" s="1"/>
  <c r="BL28" i="1"/>
  <c r="DX28" i="1" s="1"/>
  <c r="BL32" i="1"/>
  <c r="DX32" i="1" s="1"/>
  <c r="BL229" i="1"/>
  <c r="BL281" i="1"/>
  <c r="BL270" i="1"/>
  <c r="BL22" i="1"/>
  <c r="DX22" i="1" s="1"/>
  <c r="BL30" i="1"/>
  <c r="DX30" i="1" s="1"/>
  <c r="BL92" i="1"/>
  <c r="DX92" i="1" s="1"/>
  <c r="BL99" i="1"/>
  <c r="DX99" i="1" s="1"/>
  <c r="BL280" i="1"/>
  <c r="BL279" i="1"/>
  <c r="BL284" i="1"/>
  <c r="BL147" i="1"/>
  <c r="BL102" i="1"/>
  <c r="DX102" i="1" s="1"/>
  <c r="EB102" i="1" s="1"/>
  <c r="C29" i="9" s="1"/>
  <c r="BL228" i="1"/>
  <c r="BL273" i="1"/>
  <c r="BL222" i="1"/>
  <c r="BL271" i="1"/>
  <c r="BL26" i="1"/>
  <c r="DX26" i="1" s="1"/>
  <c r="BL24" i="1"/>
  <c r="DX24" i="1" s="1"/>
  <c r="BL106" i="1"/>
  <c r="DX106" i="1" s="1"/>
  <c r="BL98" i="1"/>
  <c r="DX98" i="1" s="1"/>
  <c r="BW279" i="1"/>
  <c r="BW270" i="1"/>
  <c r="BW273" i="1"/>
  <c r="BW284" i="1"/>
  <c r="BW271" i="1"/>
  <c r="BW281" i="1"/>
  <c r="BW291" i="1"/>
  <c r="BW286" i="1"/>
  <c r="BW280" i="1"/>
  <c r="DA262" i="1"/>
  <c r="DA261" i="1"/>
  <c r="DA263" i="1"/>
  <c r="AW13" i="1"/>
  <c r="EB237" i="1"/>
  <c r="EB235" i="1"/>
  <c r="C15" i="1"/>
  <c r="AS15" i="1" s="1"/>
  <c r="AT15" i="1" s="1"/>
  <c r="AW15" i="1" s="1"/>
  <c r="C263" i="1"/>
  <c r="CP291" i="1"/>
  <c r="CP228" i="1"/>
  <c r="CP236" i="1"/>
  <c r="DX236" i="1" s="1"/>
  <c r="EB39" i="1"/>
  <c r="EB233" i="1"/>
  <c r="CP227" i="1"/>
  <c r="CP232" i="1"/>
  <c r="DX232" i="1" s="1"/>
  <c r="CP284" i="1"/>
  <c r="CP281" i="1"/>
  <c r="CP273" i="1"/>
  <c r="CP292" i="1"/>
  <c r="DX292" i="1" s="1"/>
  <c r="CP218" i="1"/>
  <c r="G48" i="12"/>
  <c r="I48" i="12" s="1"/>
  <c r="CP271" i="1"/>
  <c r="CP219" i="1"/>
  <c r="CP223" i="1"/>
  <c r="CP270" i="1"/>
  <c r="CP234" i="1"/>
  <c r="DX234" i="1" s="1"/>
  <c r="CP279" i="1"/>
  <c r="CP229" i="1"/>
  <c r="CP240" i="1"/>
  <c r="DX240" i="1" s="1"/>
  <c r="CP238" i="1"/>
  <c r="DX238" i="1" s="1"/>
  <c r="CP286" i="1"/>
  <c r="CP280" i="1"/>
  <c r="CP222" i="1"/>
  <c r="AW14" i="1"/>
  <c r="CP147" i="1"/>
  <c r="CP148" i="1"/>
  <c r="O44" i="9"/>
  <c r="EB37" i="1"/>
  <c r="EB42" i="1"/>
  <c r="EB40" i="1"/>
  <c r="EB38" i="1"/>
  <c r="G44" i="12"/>
  <c r="I44" i="12" s="1"/>
  <c r="EC46" i="1"/>
  <c r="G47" i="12"/>
  <c r="I47" i="12" s="1"/>
  <c r="EB44" i="1"/>
  <c r="V148" i="1"/>
  <c r="EB293" i="1"/>
  <c r="EB45" i="1"/>
  <c r="O43" i="9" s="1"/>
  <c r="E15" i="1"/>
  <c r="E210" i="1"/>
  <c r="V147" i="1"/>
  <c r="AS84" i="1"/>
  <c r="AT84" i="1" s="1"/>
  <c r="AO84" i="1"/>
  <c r="AP84" i="1" s="1"/>
  <c r="B13" i="2"/>
  <c r="D150" i="1"/>
  <c r="DD150" i="1" s="1"/>
  <c r="DE150" i="1" s="1"/>
  <c r="D86" i="1"/>
  <c r="C13" i="2"/>
  <c r="E13" i="2"/>
  <c r="P13" i="2"/>
  <c r="D16" i="1"/>
  <c r="D211" i="1"/>
  <c r="D264" i="1"/>
  <c r="BD85" i="1"/>
  <c r="BE85" i="1" s="1"/>
  <c r="BH85" i="1"/>
  <c r="BI85" i="1" s="1"/>
  <c r="C149" i="1"/>
  <c r="C85" i="1"/>
  <c r="E149" i="1"/>
  <c r="E85" i="1"/>
  <c r="DH208" i="1"/>
  <c r="DI208" i="1" s="1"/>
  <c r="DT208" i="1"/>
  <c r="AG149" i="1"/>
  <c r="AH149" i="1" s="1"/>
  <c r="AO149" i="1"/>
  <c r="AP149" i="1" s="1"/>
  <c r="AP183" i="1" s="1"/>
  <c r="Y149" i="1"/>
  <c r="Z149" i="1" s="1"/>
  <c r="CS149" i="1"/>
  <c r="CT149" i="1" s="1"/>
  <c r="DA149" i="1" s="1"/>
  <c r="AC149" i="1"/>
  <c r="AD149" i="1" s="1"/>
  <c r="N149" i="1"/>
  <c r="O149" i="1" s="1"/>
  <c r="O183" i="1" s="1"/>
  <c r="R149" i="1"/>
  <c r="S149" i="1" s="1"/>
  <c r="S183" i="1" s="1"/>
  <c r="CD149" i="1"/>
  <c r="CE149" i="1" s="1"/>
  <c r="AZ149" i="1"/>
  <c r="BA149" i="1" s="1"/>
  <c r="BD149" i="1"/>
  <c r="BE149" i="1" s="1"/>
  <c r="BZ149" i="1"/>
  <c r="CA149" i="1" s="1"/>
  <c r="BH149" i="1"/>
  <c r="BI149" i="1" s="1"/>
  <c r="AS149" i="1"/>
  <c r="AT149" i="1" s="1"/>
  <c r="CL149" i="1"/>
  <c r="CM149" i="1" s="1"/>
  <c r="AS83" i="1"/>
  <c r="AT83" i="1" s="1"/>
  <c r="AO83" i="1"/>
  <c r="AP83" i="1" s="1"/>
  <c r="DH209" i="1"/>
  <c r="DI209" i="1" s="1"/>
  <c r="DT209" i="1"/>
  <c r="DU209" i="1" s="1"/>
  <c r="AW148" i="1"/>
  <c r="CL84" i="1"/>
  <c r="CM84" i="1" s="1"/>
  <c r="CP84" i="1" s="1"/>
  <c r="AW147" i="1"/>
  <c r="CL83" i="1"/>
  <c r="CM83" i="1" s="1"/>
  <c r="CP83" i="1" s="1"/>
  <c r="BD84" i="1"/>
  <c r="BE84" i="1" s="1"/>
  <c r="BH84" i="1"/>
  <c r="BI84" i="1" s="1"/>
  <c r="BH83" i="1"/>
  <c r="BI83" i="1" s="1"/>
  <c r="BD83" i="1"/>
  <c r="BE83" i="1" s="1"/>
  <c r="BH14" i="1"/>
  <c r="BI14" i="1" s="1"/>
  <c r="BD14" i="1"/>
  <c r="BE14" i="1" s="1"/>
  <c r="BH15" i="1"/>
  <c r="BI15" i="1" s="1"/>
  <c r="BD15" i="1"/>
  <c r="BE15" i="1" s="1"/>
  <c r="CL13" i="1"/>
  <c r="CM13" i="1" s="1"/>
  <c r="CP13" i="1" s="1"/>
  <c r="CW208" i="1"/>
  <c r="CX208" i="1" s="1"/>
  <c r="CS208" i="1"/>
  <c r="CT208" i="1" s="1"/>
  <c r="BD13" i="1"/>
  <c r="BE13" i="1" s="1"/>
  <c r="BH13" i="1"/>
  <c r="BI13" i="1" s="1"/>
  <c r="CL14" i="1"/>
  <c r="CM14" i="1" s="1"/>
  <c r="CP14" i="1" s="1"/>
  <c r="CW209" i="1"/>
  <c r="CX209" i="1" s="1"/>
  <c r="CS209" i="1"/>
  <c r="CT209" i="1" s="1"/>
  <c r="AW271" i="1"/>
  <c r="AW273" i="1"/>
  <c r="AW218" i="1"/>
  <c r="AW270" i="1"/>
  <c r="AW219" i="1"/>
  <c r="BI261" i="1"/>
  <c r="S261" i="1"/>
  <c r="CE261" i="1"/>
  <c r="BE261" i="1"/>
  <c r="CA261" i="1"/>
  <c r="AD261" i="1"/>
  <c r="AT261" i="1"/>
  <c r="AL261" i="1"/>
  <c r="BT261" i="1"/>
  <c r="CI261" i="1"/>
  <c r="CM261" i="1"/>
  <c r="BP261" i="1"/>
  <c r="AH261" i="1"/>
  <c r="BA261" i="1"/>
  <c r="O261" i="1"/>
  <c r="CD208" i="1"/>
  <c r="CE208" i="1" s="1"/>
  <c r="BZ208" i="1"/>
  <c r="CA208" i="1" s="1"/>
  <c r="AD208" i="1"/>
  <c r="S208" i="1"/>
  <c r="BD208" i="1"/>
  <c r="BE208" i="1" s="1"/>
  <c r="Z208" i="1"/>
  <c r="CL208" i="1"/>
  <c r="CM208" i="1" s="1"/>
  <c r="AT208" i="1"/>
  <c r="AL208" i="1"/>
  <c r="BH208" i="1"/>
  <c r="BI208" i="1" s="1"/>
  <c r="CH208" i="1"/>
  <c r="CI208" i="1" s="1"/>
  <c r="BS208" i="1"/>
  <c r="BT208" i="1" s="1"/>
  <c r="BW208" i="1" s="1"/>
  <c r="AH208" i="1"/>
  <c r="O208" i="1"/>
  <c r="AZ208" i="1"/>
  <c r="BA208" i="1" s="1"/>
  <c r="BA262" i="1"/>
  <c r="O262" i="1"/>
  <c r="AL262" i="1"/>
  <c r="BP262" i="1"/>
  <c r="CE262" i="1"/>
  <c r="AT262" i="1"/>
  <c r="BI262" i="1"/>
  <c r="CA262" i="1"/>
  <c r="AD262" i="1"/>
  <c r="CI262" i="1"/>
  <c r="CM262" i="1"/>
  <c r="BE262" i="1"/>
  <c r="AH262" i="1"/>
  <c r="S262" i="1"/>
  <c r="BT262" i="1"/>
  <c r="O210" i="1"/>
  <c r="AL210" i="1"/>
  <c r="AT210" i="1"/>
  <c r="AD210" i="1"/>
  <c r="S210" i="1"/>
  <c r="Z210" i="1"/>
  <c r="AH210" i="1"/>
  <c r="O209" i="1"/>
  <c r="BZ209" i="1"/>
  <c r="CA209" i="1" s="1"/>
  <c r="Z209" i="1"/>
  <c r="AT209" i="1"/>
  <c r="S209" i="1"/>
  <c r="AZ209" i="1"/>
  <c r="BA209" i="1" s="1"/>
  <c r="CH209" i="1"/>
  <c r="CI209" i="1" s="1"/>
  <c r="AD209" i="1"/>
  <c r="AH209" i="1"/>
  <c r="BD209" i="1"/>
  <c r="BE209" i="1" s="1"/>
  <c r="CL209" i="1"/>
  <c r="CM209" i="1" s="1"/>
  <c r="CD209" i="1"/>
  <c r="CE209" i="1" s="1"/>
  <c r="AL209" i="1"/>
  <c r="BH209" i="1"/>
  <c r="BI209" i="1" s="1"/>
  <c r="BS209" i="1"/>
  <c r="BT209" i="1" s="1"/>
  <c r="BW209" i="1" s="1"/>
  <c r="O263" i="1"/>
  <c r="BA263" i="1"/>
  <c r="AD263" i="1"/>
  <c r="BI263" i="1"/>
  <c r="CM263" i="1"/>
  <c r="S263" i="1"/>
  <c r="CI263" i="1"/>
  <c r="BT263" i="1"/>
  <c r="AL263" i="1"/>
  <c r="BP263" i="1"/>
  <c r="AT263" i="1"/>
  <c r="CE263" i="1"/>
  <c r="AH263" i="1"/>
  <c r="CA263" i="1"/>
  <c r="BE263" i="1"/>
  <c r="DD210" i="1" l="1"/>
  <c r="DE210" i="1" s="1"/>
  <c r="DL210" i="1"/>
  <c r="DM210" i="1" s="1"/>
  <c r="DP210" i="1"/>
  <c r="DQ210" i="1" s="1"/>
  <c r="DL16" i="1"/>
  <c r="DM16" i="1" s="1"/>
  <c r="DP16" i="1"/>
  <c r="DQ16" i="1" s="1"/>
  <c r="DX223" i="1"/>
  <c r="DX271" i="1"/>
  <c r="DX218" i="1"/>
  <c r="DX281" i="1"/>
  <c r="DX291" i="1"/>
  <c r="EB291" i="1" s="1"/>
  <c r="DX273" i="1"/>
  <c r="DX147" i="1"/>
  <c r="EB147" i="1" s="1"/>
  <c r="L9" i="9" s="1"/>
  <c r="DX148" i="1"/>
  <c r="EB148" i="1" s="1"/>
  <c r="DX270" i="1"/>
  <c r="DX286" i="1"/>
  <c r="EB286" i="1" s="1"/>
  <c r="DX279" i="1"/>
  <c r="DX280" i="1"/>
  <c r="DX284" i="1"/>
  <c r="DX222" i="1"/>
  <c r="DX227" i="1"/>
  <c r="DX228" i="1"/>
  <c r="DX229" i="1"/>
  <c r="DX219" i="1"/>
  <c r="DP264" i="1"/>
  <c r="DQ264" i="1" s="1"/>
  <c r="DL264" i="1"/>
  <c r="DM264" i="1" s="1"/>
  <c r="EB106" i="1"/>
  <c r="C33" i="9" s="1"/>
  <c r="EB105" i="1"/>
  <c r="C32" i="9" s="1"/>
  <c r="EB93" i="1"/>
  <c r="C20" i="9" s="1"/>
  <c r="EB99" i="1"/>
  <c r="C26" i="9" s="1"/>
  <c r="EB100" i="1"/>
  <c r="C27" i="9" s="1"/>
  <c r="EB92" i="1"/>
  <c r="C19" i="9" s="1"/>
  <c r="EB104" i="1"/>
  <c r="C31" i="9" s="1"/>
  <c r="EB240" i="1"/>
  <c r="D42" i="9" s="1"/>
  <c r="EB98" i="1"/>
  <c r="C25" i="9" s="1"/>
  <c r="BL209" i="1"/>
  <c r="BL14" i="1"/>
  <c r="DX14" i="1" s="1"/>
  <c r="BL85" i="1"/>
  <c r="C18" i="9"/>
  <c r="D37" i="9"/>
  <c r="C22" i="9"/>
  <c r="D35" i="9"/>
  <c r="C30" i="9"/>
  <c r="D39" i="9"/>
  <c r="BL83" i="1"/>
  <c r="BL149" i="1"/>
  <c r="BL262" i="1"/>
  <c r="BL13" i="1"/>
  <c r="DX13" i="1" s="1"/>
  <c r="C21" i="9"/>
  <c r="BL261" i="1"/>
  <c r="BL208" i="1"/>
  <c r="BL84" i="1"/>
  <c r="BL263" i="1"/>
  <c r="C24" i="9"/>
  <c r="BL15" i="1"/>
  <c r="O36" i="9"/>
  <c r="BW262" i="1"/>
  <c r="BW263" i="1"/>
  <c r="BW261" i="1"/>
  <c r="DA209" i="1"/>
  <c r="DA208" i="1"/>
  <c r="G40" i="12"/>
  <c r="I40" i="12" s="1"/>
  <c r="EB236" i="1"/>
  <c r="D38" i="9" s="1"/>
  <c r="EC39" i="1"/>
  <c r="EB238" i="1"/>
  <c r="D40" i="9" s="1"/>
  <c r="EB232" i="1"/>
  <c r="D34" i="9" s="1"/>
  <c r="CP209" i="1"/>
  <c r="BZ210" i="1"/>
  <c r="CA210" i="1" s="1"/>
  <c r="EB234" i="1"/>
  <c r="D36" i="9" s="1"/>
  <c r="CP261" i="1"/>
  <c r="CP262" i="1"/>
  <c r="CP149" i="1"/>
  <c r="CP208" i="1"/>
  <c r="CP263" i="1"/>
  <c r="EB41" i="1"/>
  <c r="G42" i="12" s="1"/>
  <c r="I42" i="12" s="1"/>
  <c r="CH210" i="1"/>
  <c r="CI210" i="1" s="1"/>
  <c r="CS210" i="1"/>
  <c r="CT210" i="1" s="1"/>
  <c r="CL15" i="1"/>
  <c r="CM15" i="1" s="1"/>
  <c r="CP15" i="1" s="1"/>
  <c r="CL210" i="1"/>
  <c r="CM210" i="1" s="1"/>
  <c r="BH210" i="1"/>
  <c r="BI210" i="1" s="1"/>
  <c r="CD210" i="1"/>
  <c r="CE210" i="1" s="1"/>
  <c r="BS210" i="1"/>
  <c r="BT210" i="1" s="1"/>
  <c r="BW210" i="1" s="1"/>
  <c r="AZ210" i="1"/>
  <c r="BA210" i="1" s="1"/>
  <c r="O40" i="9"/>
  <c r="EC43" i="1"/>
  <c r="EC45" i="1"/>
  <c r="G46" i="12"/>
  <c r="I46" i="12" s="1"/>
  <c r="O42" i="9"/>
  <c r="BD210" i="1"/>
  <c r="BE210" i="1" s="1"/>
  <c r="DH210" i="1"/>
  <c r="DI210" i="1" s="1"/>
  <c r="DT210" i="1"/>
  <c r="DU210" i="1" s="1"/>
  <c r="G45" i="12"/>
  <c r="I45" i="12" s="1"/>
  <c r="EC44" i="1"/>
  <c r="O41" i="9"/>
  <c r="CW210" i="1"/>
  <c r="CX210" i="1" s="1"/>
  <c r="AW84" i="1"/>
  <c r="V149" i="1"/>
  <c r="EB292" i="1"/>
  <c r="E150" i="1"/>
  <c r="E86" i="1"/>
  <c r="E16" i="1"/>
  <c r="E211" i="1"/>
  <c r="E264" i="1"/>
  <c r="CL85" i="1"/>
  <c r="CM85" i="1" s="1"/>
  <c r="CP85" i="1" s="1"/>
  <c r="C150" i="1"/>
  <c r="C86" i="1"/>
  <c r="AS86" i="1" s="1"/>
  <c r="AT86" i="1" s="1"/>
  <c r="AW86" i="1" s="1"/>
  <c r="C16" i="1"/>
  <c r="AS16" i="1" s="1"/>
  <c r="AT16" i="1" s="1"/>
  <c r="C211" i="1"/>
  <c r="C264" i="1"/>
  <c r="CS150" i="1"/>
  <c r="CT150" i="1" s="1"/>
  <c r="DA150" i="1" s="1"/>
  <c r="BZ150" i="1"/>
  <c r="CA150" i="1" s="1"/>
  <c r="BD150" i="1"/>
  <c r="BE150" i="1" s="1"/>
  <c r="AZ150" i="1"/>
  <c r="BA150" i="1" s="1"/>
  <c r="AS150" i="1"/>
  <c r="AT150" i="1" s="1"/>
  <c r="Y150" i="1"/>
  <c r="Z150" i="1" s="1"/>
  <c r="CL150" i="1"/>
  <c r="CM150" i="1" s="1"/>
  <c r="AC150" i="1"/>
  <c r="AD150" i="1" s="1"/>
  <c r="BH150" i="1"/>
  <c r="BI150" i="1" s="1"/>
  <c r="AG150" i="1"/>
  <c r="AH150" i="1" s="1"/>
  <c r="CD150" i="1"/>
  <c r="CE150" i="1" s="1"/>
  <c r="B150" i="1"/>
  <c r="B86" i="1"/>
  <c r="B16" i="1"/>
  <c r="B264" i="1"/>
  <c r="B211" i="1"/>
  <c r="AS85" i="1"/>
  <c r="AT85" i="1" s="1"/>
  <c r="AO85" i="1"/>
  <c r="AP85" i="1" s="1"/>
  <c r="AW83" i="1"/>
  <c r="AW149" i="1"/>
  <c r="DT264" i="1"/>
  <c r="DU264" i="1" s="1"/>
  <c r="DH264" i="1"/>
  <c r="DI264" i="1" s="1"/>
  <c r="DD264" i="1"/>
  <c r="DE264" i="1" s="1"/>
  <c r="CD264" i="1"/>
  <c r="CE264" i="1" s="1"/>
  <c r="AS264" i="1"/>
  <c r="AT264" i="1" s="1"/>
  <c r="CH264" i="1"/>
  <c r="CI264" i="1" s="1"/>
  <c r="Y264" i="1"/>
  <c r="Z264" i="1" s="1"/>
  <c r="BO264" i="1"/>
  <c r="BP264" i="1" s="1"/>
  <c r="CW264" i="1"/>
  <c r="CX264" i="1" s="1"/>
  <c r="BS264" i="1"/>
  <c r="BT264" i="1" s="1"/>
  <c r="BD264" i="1"/>
  <c r="BE264" i="1" s="1"/>
  <c r="CL264" i="1"/>
  <c r="CM264" i="1" s="1"/>
  <c r="AC264" i="1"/>
  <c r="AD264" i="1" s="1"/>
  <c r="BZ264" i="1"/>
  <c r="CA264" i="1" s="1"/>
  <c r="AK264" i="1"/>
  <c r="AL264" i="1" s="1"/>
  <c r="BH264" i="1"/>
  <c r="BI264" i="1" s="1"/>
  <c r="AG264" i="1"/>
  <c r="AH264" i="1" s="1"/>
  <c r="AZ264" i="1"/>
  <c r="BA264" i="1" s="1"/>
  <c r="CS264" i="1"/>
  <c r="CT264" i="1" s="1"/>
  <c r="AK211" i="1"/>
  <c r="AL211" i="1" s="1"/>
  <c r="AS211" i="1"/>
  <c r="AT211" i="1" s="1"/>
  <c r="AG211" i="1"/>
  <c r="AH211" i="1" s="1"/>
  <c r="AC211" i="1"/>
  <c r="AD211" i="1" s="1"/>
  <c r="Y211" i="1"/>
  <c r="Z211" i="1" s="1"/>
  <c r="Z244" i="1" s="1"/>
  <c r="CH16" i="1"/>
  <c r="CI16" i="1" s="1"/>
  <c r="DH16" i="1"/>
  <c r="DI16" i="1" s="1"/>
  <c r="DT16" i="1"/>
  <c r="DU16" i="1" s="1"/>
  <c r="BS16" i="1"/>
  <c r="BT16" i="1" s="1"/>
  <c r="BW16" i="1" s="1"/>
  <c r="CW16" i="1"/>
  <c r="CX16" i="1" s="1"/>
  <c r="DA16" i="1" s="1"/>
  <c r="AK16" i="1"/>
  <c r="AL16" i="1" s="1"/>
  <c r="H115" i="6"/>
  <c r="E13" i="11"/>
  <c r="B14" i="2"/>
  <c r="D151" i="1"/>
  <c r="DD151" i="1" s="1"/>
  <c r="DE151" i="1" s="1"/>
  <c r="D87" i="1"/>
  <c r="C14" i="2"/>
  <c r="E14" i="2"/>
  <c r="D17" i="1"/>
  <c r="D265" i="1"/>
  <c r="D212" i="1"/>
  <c r="P14" i="2"/>
  <c r="G43" i="12"/>
  <c r="I43" i="12" s="1"/>
  <c r="G38" i="12"/>
  <c r="I38" i="12" s="1"/>
  <c r="G41" i="12"/>
  <c r="I41" i="12" s="1"/>
  <c r="O37" i="9"/>
  <c r="EC40" i="1"/>
  <c r="EC37" i="1"/>
  <c r="O39" i="9"/>
  <c r="EC42" i="1"/>
  <c r="AW262" i="1"/>
  <c r="AW209" i="1"/>
  <c r="V210" i="1"/>
  <c r="Z262" i="1"/>
  <c r="G13" i="8"/>
  <c r="H13" i="8" s="1"/>
  <c r="F11" i="9" s="1"/>
  <c r="AW261" i="1"/>
  <c r="Z261" i="1"/>
  <c r="G12" i="8"/>
  <c r="H12" i="8" s="1"/>
  <c r="S244" i="1"/>
  <c r="Z263" i="1"/>
  <c r="G14" i="8"/>
  <c r="H14" i="8" s="1"/>
  <c r="F12" i="9" s="1"/>
  <c r="V263" i="1"/>
  <c r="V209" i="1"/>
  <c r="V208" i="1"/>
  <c r="O244" i="1"/>
  <c r="AW263" i="1"/>
  <c r="AW210" i="1"/>
  <c r="AW208" i="1"/>
  <c r="G39" i="12"/>
  <c r="I39" i="12" s="1"/>
  <c r="O35" i="9"/>
  <c r="EC38" i="1"/>
  <c r="O297" i="1"/>
  <c r="V261" i="1"/>
  <c r="S297" i="1"/>
  <c r="V262" i="1"/>
  <c r="DP17" i="1" l="1"/>
  <c r="DQ17" i="1" s="1"/>
  <c r="DL17" i="1"/>
  <c r="DM17" i="1" s="1"/>
  <c r="DD211" i="1"/>
  <c r="DE211" i="1" s="1"/>
  <c r="DL211" i="1"/>
  <c r="DM211" i="1" s="1"/>
  <c r="DP211" i="1"/>
  <c r="DQ211" i="1" s="1"/>
  <c r="DX209" i="1"/>
  <c r="DX263" i="1"/>
  <c r="DX83" i="1"/>
  <c r="EB83" i="1" s="1"/>
  <c r="C9" i="9" s="1"/>
  <c r="DX261" i="1"/>
  <c r="DX15" i="1"/>
  <c r="DX262" i="1"/>
  <c r="DX149" i="1"/>
  <c r="EB149" i="1" s="1"/>
  <c r="DP265" i="1"/>
  <c r="DQ265" i="1" s="1"/>
  <c r="DL265" i="1"/>
  <c r="DM265" i="1" s="1"/>
  <c r="DX208" i="1"/>
  <c r="DX84" i="1"/>
  <c r="EB84" i="1" s="1"/>
  <c r="C11" i="9" s="1"/>
  <c r="BL210" i="1"/>
  <c r="BL150" i="1"/>
  <c r="BL264" i="1"/>
  <c r="DA264" i="1"/>
  <c r="BW264" i="1"/>
  <c r="DA210" i="1"/>
  <c r="EC41" i="1"/>
  <c r="O38" i="9"/>
  <c r="CP150" i="1"/>
  <c r="CP210" i="1"/>
  <c r="Z183" i="1"/>
  <c r="V183" i="1"/>
  <c r="AW16" i="1"/>
  <c r="CP264" i="1"/>
  <c r="AW85" i="1"/>
  <c r="DX85" i="1" s="1"/>
  <c r="AW264" i="1"/>
  <c r="AP119" i="1"/>
  <c r="AW211" i="1"/>
  <c r="AG212" i="1"/>
  <c r="AH212" i="1" s="1"/>
  <c r="AS212" i="1"/>
  <c r="AT212" i="1" s="1"/>
  <c r="AK212" i="1"/>
  <c r="AL212" i="1" s="1"/>
  <c r="AC212" i="1"/>
  <c r="AD212" i="1" s="1"/>
  <c r="DT265" i="1"/>
  <c r="DU265" i="1" s="1"/>
  <c r="DD265" i="1"/>
  <c r="DE265" i="1" s="1"/>
  <c r="DH265" i="1"/>
  <c r="DI265" i="1" s="1"/>
  <c r="AK265" i="1"/>
  <c r="AL265" i="1" s="1"/>
  <c r="AG265" i="1"/>
  <c r="AH265" i="1" s="1"/>
  <c r="BS265" i="1"/>
  <c r="BT265" i="1" s="1"/>
  <c r="BH265" i="1"/>
  <c r="BI265" i="1" s="1"/>
  <c r="BO265" i="1"/>
  <c r="BP265" i="1" s="1"/>
  <c r="CL265" i="1"/>
  <c r="CM265" i="1" s="1"/>
  <c r="CH265" i="1"/>
  <c r="CI265" i="1" s="1"/>
  <c r="BZ265" i="1"/>
  <c r="CA265" i="1" s="1"/>
  <c r="CD265" i="1"/>
  <c r="CE265" i="1" s="1"/>
  <c r="AC265" i="1"/>
  <c r="AD265" i="1" s="1"/>
  <c r="AS265" i="1"/>
  <c r="AT265" i="1" s="1"/>
  <c r="CW265" i="1"/>
  <c r="CX265" i="1" s="1"/>
  <c r="AZ265" i="1"/>
  <c r="BA265" i="1" s="1"/>
  <c r="BD265" i="1"/>
  <c r="BE265" i="1" s="1"/>
  <c r="CS265" i="1"/>
  <c r="CT265" i="1" s="1"/>
  <c r="CH17" i="1"/>
  <c r="CI17" i="1" s="1"/>
  <c r="DT17" i="1"/>
  <c r="DU17" i="1" s="1"/>
  <c r="DH17" i="1"/>
  <c r="DI17" i="1" s="1"/>
  <c r="BS17" i="1"/>
  <c r="BT17" i="1" s="1"/>
  <c r="BW17" i="1" s="1"/>
  <c r="AK17" i="1"/>
  <c r="AL17" i="1" s="1"/>
  <c r="CW17" i="1"/>
  <c r="CX17" i="1" s="1"/>
  <c r="DA17" i="1" s="1"/>
  <c r="D152" i="1"/>
  <c r="DD152" i="1" s="1"/>
  <c r="DE152" i="1" s="1"/>
  <c r="D88" i="1"/>
  <c r="C15" i="2"/>
  <c r="E15" i="2"/>
  <c r="D266" i="1"/>
  <c r="D213" i="1"/>
  <c r="D18" i="1"/>
  <c r="B15" i="2"/>
  <c r="P15" i="2"/>
  <c r="AW150" i="1"/>
  <c r="C151" i="1"/>
  <c r="C87" i="1"/>
  <c r="AS87" i="1" s="1"/>
  <c r="AT87" i="1" s="1"/>
  <c r="C212" i="1"/>
  <c r="C265" i="1"/>
  <c r="C17" i="1"/>
  <c r="AS17" i="1" s="1"/>
  <c r="AT17" i="1" s="1"/>
  <c r="AZ151" i="1"/>
  <c r="BA151" i="1" s="1"/>
  <c r="BH151" i="1"/>
  <c r="BI151" i="1" s="1"/>
  <c r="CL151" i="1"/>
  <c r="CM151" i="1" s="1"/>
  <c r="AC151" i="1"/>
  <c r="AD151" i="1" s="1"/>
  <c r="BZ151" i="1"/>
  <c r="CA151" i="1" s="1"/>
  <c r="CA183" i="1" s="1"/>
  <c r="AG151" i="1"/>
  <c r="AH151" i="1" s="1"/>
  <c r="BD151" i="1"/>
  <c r="BE151" i="1" s="1"/>
  <c r="AS151" i="1"/>
  <c r="AT151" i="1" s="1"/>
  <c r="CD151" i="1"/>
  <c r="CE151" i="1" s="1"/>
  <c r="CS151" i="1"/>
  <c r="CT151" i="1" s="1"/>
  <c r="DA151" i="1" s="1"/>
  <c r="E151" i="1"/>
  <c r="E87" i="1"/>
  <c r="E265" i="1"/>
  <c r="E212" i="1"/>
  <c r="E17" i="1"/>
  <c r="B151" i="1"/>
  <c r="B87" i="1"/>
  <c r="B17" i="1"/>
  <c r="B265" i="1"/>
  <c r="B212" i="1"/>
  <c r="DT211" i="1"/>
  <c r="DU211" i="1" s="1"/>
  <c r="DH211" i="1"/>
  <c r="DI211" i="1" s="1"/>
  <c r="CW211" i="1"/>
  <c r="CX211" i="1" s="1"/>
  <c r="BH211" i="1"/>
  <c r="BI211" i="1" s="1"/>
  <c r="CD211" i="1"/>
  <c r="CE211" i="1" s="1"/>
  <c r="CS211" i="1"/>
  <c r="CT211" i="1" s="1"/>
  <c r="BS211" i="1"/>
  <c r="BT211" i="1" s="1"/>
  <c r="BW211" i="1" s="1"/>
  <c r="CH211" i="1"/>
  <c r="CI211" i="1" s="1"/>
  <c r="BD211" i="1"/>
  <c r="BE211" i="1" s="1"/>
  <c r="BZ211" i="1"/>
  <c r="CA211" i="1" s="1"/>
  <c r="AZ211" i="1"/>
  <c r="BA211" i="1" s="1"/>
  <c r="CL211" i="1"/>
  <c r="CM211" i="1" s="1"/>
  <c r="CL16" i="1"/>
  <c r="CM16" i="1" s="1"/>
  <c r="CP16" i="1" s="1"/>
  <c r="CL86" i="1"/>
  <c r="CM86" i="1" s="1"/>
  <c r="CP86" i="1" s="1"/>
  <c r="BD16" i="1"/>
  <c r="BE16" i="1" s="1"/>
  <c r="BH16" i="1"/>
  <c r="BI16" i="1" s="1"/>
  <c r="E14" i="11"/>
  <c r="I115" i="6"/>
  <c r="BH86" i="1"/>
  <c r="BI86" i="1" s="1"/>
  <c r="BD86" i="1"/>
  <c r="BE86" i="1" s="1"/>
  <c r="Z297" i="1"/>
  <c r="V244" i="1"/>
  <c r="F10" i="9"/>
  <c r="V297" i="1"/>
  <c r="DP18" i="1" l="1"/>
  <c r="DQ18" i="1" s="1"/>
  <c r="DL18" i="1"/>
  <c r="DM18" i="1" s="1"/>
  <c r="DD212" i="1"/>
  <c r="DE212" i="1" s="1"/>
  <c r="DP212" i="1"/>
  <c r="DQ212" i="1" s="1"/>
  <c r="DL212" i="1"/>
  <c r="DM212" i="1" s="1"/>
  <c r="DX210" i="1"/>
  <c r="DX264" i="1"/>
  <c r="DX150" i="1"/>
  <c r="EB150" i="1" s="1"/>
  <c r="L12" i="9" s="1"/>
  <c r="DL266" i="1"/>
  <c r="DM266" i="1" s="1"/>
  <c r="DP266" i="1"/>
  <c r="DQ266" i="1" s="1"/>
  <c r="EB85" i="1"/>
  <c r="C12" i="9" s="1"/>
  <c r="BL16" i="1"/>
  <c r="DX16" i="1" s="1"/>
  <c r="BL265" i="1"/>
  <c r="BL86" i="1"/>
  <c r="DX86" i="1" s="1"/>
  <c r="BL151" i="1"/>
  <c r="BL211" i="1"/>
  <c r="L11" i="9"/>
  <c r="BW265" i="1"/>
  <c r="DA265" i="1"/>
  <c r="DA211" i="1"/>
  <c r="AW17" i="1"/>
  <c r="CP211" i="1"/>
  <c r="CP265" i="1"/>
  <c r="CP151" i="1"/>
  <c r="AW265" i="1"/>
  <c r="DH212" i="1"/>
  <c r="DI212" i="1" s="1"/>
  <c r="DT212" i="1"/>
  <c r="DU212" i="1" s="1"/>
  <c r="BD212" i="1"/>
  <c r="BE212" i="1" s="1"/>
  <c r="AZ212" i="1"/>
  <c r="BA212" i="1" s="1"/>
  <c r="BZ212" i="1"/>
  <c r="CA212" i="1" s="1"/>
  <c r="CA244" i="1" s="1"/>
  <c r="CW212" i="1"/>
  <c r="CX212" i="1" s="1"/>
  <c r="CD212" i="1"/>
  <c r="CE212" i="1" s="1"/>
  <c r="BH212" i="1"/>
  <c r="BI212" i="1" s="1"/>
  <c r="CS212" i="1"/>
  <c r="CT212" i="1" s="1"/>
  <c r="CL212" i="1"/>
  <c r="CM212" i="1" s="1"/>
  <c r="BS212" i="1"/>
  <c r="BT212" i="1" s="1"/>
  <c r="BW212" i="1" s="1"/>
  <c r="CH212" i="1"/>
  <c r="CI212" i="1" s="1"/>
  <c r="E15" i="11"/>
  <c r="J115" i="6"/>
  <c r="B152" i="1"/>
  <c r="B88" i="1"/>
  <c r="B18" i="1"/>
  <c r="B213" i="1"/>
  <c r="B266" i="1"/>
  <c r="CL87" i="1"/>
  <c r="CM87" i="1" s="1"/>
  <c r="CP87" i="1" s="1"/>
  <c r="CH18" i="1"/>
  <c r="CI18" i="1" s="1"/>
  <c r="DT18" i="1"/>
  <c r="DU18" i="1" s="1"/>
  <c r="DH18" i="1"/>
  <c r="DI18" i="1" s="1"/>
  <c r="CW18" i="1"/>
  <c r="CX18" i="1" s="1"/>
  <c r="DA18" i="1" s="1"/>
  <c r="AK18" i="1"/>
  <c r="AL18" i="1" s="1"/>
  <c r="BS18" i="1"/>
  <c r="BT18" i="1" s="1"/>
  <c r="BW18" i="1" s="1"/>
  <c r="AK213" i="1"/>
  <c r="AL213" i="1" s="1"/>
  <c r="AS213" i="1"/>
  <c r="AT213" i="1" s="1"/>
  <c r="AG213" i="1"/>
  <c r="AH213" i="1" s="1"/>
  <c r="AC213" i="1"/>
  <c r="AD213" i="1" s="1"/>
  <c r="DD266" i="1"/>
  <c r="DE266" i="1" s="1"/>
  <c r="DT266" i="1"/>
  <c r="DU266" i="1" s="1"/>
  <c r="DH266" i="1"/>
  <c r="DI266" i="1" s="1"/>
  <c r="AC266" i="1"/>
  <c r="AD266" i="1" s="1"/>
  <c r="BS266" i="1"/>
  <c r="BT266" i="1" s="1"/>
  <c r="AZ266" i="1"/>
  <c r="BA266" i="1" s="1"/>
  <c r="CS266" i="1"/>
  <c r="CT266" i="1" s="1"/>
  <c r="BH266" i="1"/>
  <c r="BI266" i="1" s="1"/>
  <c r="BO266" i="1"/>
  <c r="BP266" i="1" s="1"/>
  <c r="AK266" i="1"/>
  <c r="AL266" i="1" s="1"/>
  <c r="CD266" i="1"/>
  <c r="CE266" i="1" s="1"/>
  <c r="CL266" i="1"/>
  <c r="CM266" i="1" s="1"/>
  <c r="CW266" i="1"/>
  <c r="CX266" i="1" s="1"/>
  <c r="AG266" i="1"/>
  <c r="AH266" i="1" s="1"/>
  <c r="AS266" i="1"/>
  <c r="AT266" i="1" s="1"/>
  <c r="CH266" i="1"/>
  <c r="CI266" i="1" s="1"/>
  <c r="BD266" i="1"/>
  <c r="BE266" i="1" s="1"/>
  <c r="BZ266" i="1"/>
  <c r="CA266" i="1" s="1"/>
  <c r="D153" i="1"/>
  <c r="DD153" i="1" s="1"/>
  <c r="DE153" i="1" s="1"/>
  <c r="DE183" i="1" s="1"/>
  <c r="D89" i="1"/>
  <c r="C16" i="2"/>
  <c r="E16" i="2"/>
  <c r="P16" i="2"/>
  <c r="L115" i="6" s="1"/>
  <c r="D214" i="1"/>
  <c r="B16" i="2"/>
  <c r="D267" i="1"/>
  <c r="D19" i="1"/>
  <c r="E152" i="1"/>
  <c r="E88" i="1"/>
  <c r="E266" i="1"/>
  <c r="E18" i="1"/>
  <c r="E213" i="1"/>
  <c r="C152" i="1"/>
  <c r="C88" i="1"/>
  <c r="AS88" i="1" s="1"/>
  <c r="AT88" i="1" s="1"/>
  <c r="AW88" i="1" s="1"/>
  <c r="C18" i="1"/>
  <c r="AS18" i="1" s="1"/>
  <c r="AT18" i="1" s="1"/>
  <c r="C266" i="1"/>
  <c r="C213" i="1"/>
  <c r="AW87" i="1"/>
  <c r="CS152" i="1"/>
  <c r="CT152" i="1" s="1"/>
  <c r="DA152" i="1" s="1"/>
  <c r="CD152" i="1"/>
  <c r="CE152" i="1" s="1"/>
  <c r="AS152" i="1"/>
  <c r="AT152" i="1" s="1"/>
  <c r="AZ152" i="1"/>
  <c r="BA152" i="1" s="1"/>
  <c r="BH152" i="1"/>
  <c r="BI152" i="1" s="1"/>
  <c r="CL152" i="1"/>
  <c r="CM152" i="1" s="1"/>
  <c r="BD152" i="1"/>
  <c r="BE152" i="1" s="1"/>
  <c r="AG152" i="1"/>
  <c r="AH152" i="1" s="1"/>
  <c r="AC152" i="1"/>
  <c r="AD152" i="1" s="1"/>
  <c r="L10" i="9"/>
  <c r="AW212" i="1"/>
  <c r="BD17" i="1"/>
  <c r="BE17" i="1" s="1"/>
  <c r="BH17" i="1"/>
  <c r="BI17" i="1" s="1"/>
  <c r="AW151" i="1"/>
  <c r="BD87" i="1"/>
  <c r="BE87" i="1" s="1"/>
  <c r="BH87" i="1"/>
  <c r="BI87" i="1" s="1"/>
  <c r="CL17" i="1"/>
  <c r="CM17" i="1" s="1"/>
  <c r="CP17" i="1" s="1"/>
  <c r="DD213" i="1" l="1"/>
  <c r="DE213" i="1" s="1"/>
  <c r="DP213" i="1"/>
  <c r="DQ213" i="1" s="1"/>
  <c r="DL213" i="1"/>
  <c r="DM213" i="1" s="1"/>
  <c r="DL19" i="1"/>
  <c r="DM19" i="1" s="1"/>
  <c r="DM49" i="1" s="1"/>
  <c r="DP19" i="1"/>
  <c r="DQ19" i="1" s="1"/>
  <c r="DQ49" i="1" s="1"/>
  <c r="DX151" i="1"/>
  <c r="EB151" i="1" s="1"/>
  <c r="L13" i="9" s="1"/>
  <c r="DX211" i="1"/>
  <c r="DX265" i="1"/>
  <c r="DP267" i="1"/>
  <c r="DQ267" i="1" s="1"/>
  <c r="DQ297" i="1" s="1"/>
  <c r="DL267" i="1"/>
  <c r="DM267" i="1" s="1"/>
  <c r="DM297" i="1" s="1"/>
  <c r="EB86" i="1"/>
  <c r="BL212" i="1"/>
  <c r="BL17" i="1"/>
  <c r="DX17" i="1" s="1"/>
  <c r="BL87" i="1"/>
  <c r="DX87" i="1" s="1"/>
  <c r="BL152" i="1"/>
  <c r="BL266" i="1"/>
  <c r="BW266" i="1"/>
  <c r="DA212" i="1"/>
  <c r="DA266" i="1"/>
  <c r="CP266" i="1"/>
  <c r="CP212" i="1"/>
  <c r="AW18" i="1"/>
  <c r="CP152" i="1"/>
  <c r="AW213" i="1"/>
  <c r="AW152" i="1"/>
  <c r="AW266" i="1"/>
  <c r="CE183" i="1"/>
  <c r="CH19" i="1"/>
  <c r="CI19" i="1" s="1"/>
  <c r="DT19" i="1"/>
  <c r="DU19" i="1" s="1"/>
  <c r="DU49" i="1" s="1"/>
  <c r="DH19" i="1"/>
  <c r="DI19" i="1" s="1"/>
  <c r="DI49" i="1" s="1"/>
  <c r="DE49" i="1"/>
  <c r="BS19" i="1"/>
  <c r="BT19" i="1" s="1"/>
  <c r="BW19" i="1" s="1"/>
  <c r="CW19" i="1"/>
  <c r="CX19" i="1" s="1"/>
  <c r="AK19" i="1"/>
  <c r="AL19" i="1" s="1"/>
  <c r="DT267" i="1"/>
  <c r="DU267" i="1" s="1"/>
  <c r="DU297" i="1" s="1"/>
  <c r="DD267" i="1"/>
  <c r="DE267" i="1" s="1"/>
  <c r="DE297" i="1" s="1"/>
  <c r="DH267" i="1"/>
  <c r="DI267" i="1" s="1"/>
  <c r="DI297" i="1" s="1"/>
  <c r="CW267" i="1"/>
  <c r="CX267" i="1" s="1"/>
  <c r="CX297" i="1" s="1"/>
  <c r="BS267" i="1"/>
  <c r="BT267" i="1" s="1"/>
  <c r="BT297" i="1" s="1"/>
  <c r="CL267" i="1"/>
  <c r="CM267" i="1" s="1"/>
  <c r="CM297" i="1" s="1"/>
  <c r="BZ267" i="1"/>
  <c r="CA267" i="1" s="1"/>
  <c r="CA297" i="1" s="1"/>
  <c r="BO267" i="1"/>
  <c r="BP267" i="1" s="1"/>
  <c r="BH267" i="1"/>
  <c r="BI267" i="1" s="1"/>
  <c r="BI297" i="1" s="1"/>
  <c r="CD267" i="1"/>
  <c r="AK267" i="1"/>
  <c r="AL267" i="1" s="1"/>
  <c r="AL297" i="1" s="1"/>
  <c r="CH267" i="1"/>
  <c r="CI267" i="1" s="1"/>
  <c r="CS267" i="1"/>
  <c r="CT267" i="1" s="1"/>
  <c r="BD267" i="1"/>
  <c r="BE267" i="1" s="1"/>
  <c r="BE297" i="1" s="1"/>
  <c r="AC267" i="1"/>
  <c r="AD267" i="1" s="1"/>
  <c r="AD297" i="1" s="1"/>
  <c r="AS267" i="1"/>
  <c r="AT267" i="1" s="1"/>
  <c r="AT297" i="1" s="1"/>
  <c r="AZ267" i="1"/>
  <c r="BA267" i="1" s="1"/>
  <c r="AG267" i="1"/>
  <c r="AH267" i="1" s="1"/>
  <c r="CE297" i="1"/>
  <c r="BH18" i="1"/>
  <c r="BI18" i="1" s="1"/>
  <c r="BD18" i="1"/>
  <c r="BE18" i="1" s="1"/>
  <c r="BD88" i="1"/>
  <c r="BE88" i="1" s="1"/>
  <c r="BH88" i="1"/>
  <c r="BI88" i="1" s="1"/>
  <c r="C10" i="9"/>
  <c r="AC214" i="1"/>
  <c r="AD214" i="1" s="1"/>
  <c r="AD244" i="1" s="1"/>
  <c r="AK214" i="1"/>
  <c r="AL214" i="1" s="1"/>
  <c r="AL244" i="1" s="1"/>
  <c r="AS214" i="1"/>
  <c r="AT214" i="1" s="1"/>
  <c r="AT244" i="1" s="1"/>
  <c r="AG214" i="1"/>
  <c r="AH214" i="1" s="1"/>
  <c r="K115" i="6"/>
  <c r="E16" i="11"/>
  <c r="E153" i="1"/>
  <c r="E89" i="1"/>
  <c r="E19" i="1"/>
  <c r="E267" i="1"/>
  <c r="E214" i="1"/>
  <c r="CL88" i="1"/>
  <c r="CM88" i="1" s="1"/>
  <c r="CP88" i="1" s="1"/>
  <c r="C153" i="1"/>
  <c r="C89" i="1"/>
  <c r="AS89" i="1" s="1"/>
  <c r="AT89" i="1" s="1"/>
  <c r="C19" i="1"/>
  <c r="AS19" i="1" s="1"/>
  <c r="AT19" i="1" s="1"/>
  <c r="AT49" i="1" s="1"/>
  <c r="C267" i="1"/>
  <c r="C214" i="1"/>
  <c r="CL18" i="1"/>
  <c r="CM18" i="1" s="1"/>
  <c r="CP18" i="1" s="1"/>
  <c r="AZ153" i="1"/>
  <c r="BA153" i="1" s="1"/>
  <c r="CL153" i="1"/>
  <c r="CM153" i="1" s="1"/>
  <c r="CP153" i="1" s="1"/>
  <c r="AG153" i="1"/>
  <c r="AH153" i="1" s="1"/>
  <c r="AH183" i="1" s="1"/>
  <c r="BD153" i="1"/>
  <c r="BE153" i="1" s="1"/>
  <c r="BE183" i="1" s="1"/>
  <c r="AC153" i="1"/>
  <c r="AD153" i="1" s="1"/>
  <c r="AS153" i="1"/>
  <c r="AT153" i="1" s="1"/>
  <c r="AT183" i="1" s="1"/>
  <c r="CS153" i="1"/>
  <c r="CT153" i="1" s="1"/>
  <c r="DA153" i="1" s="1"/>
  <c r="BH153" i="1"/>
  <c r="BI153" i="1" s="1"/>
  <c r="BI183" i="1" s="1"/>
  <c r="B153" i="1"/>
  <c r="B89" i="1"/>
  <c r="B214" i="1"/>
  <c r="B19" i="1"/>
  <c r="B267" i="1"/>
  <c r="DH213" i="1"/>
  <c r="DI213" i="1" s="1"/>
  <c r="DT213" i="1"/>
  <c r="DU213" i="1" s="1"/>
  <c r="AZ213" i="1"/>
  <c r="BA213" i="1" s="1"/>
  <c r="CH213" i="1"/>
  <c r="CI213" i="1" s="1"/>
  <c r="BD213" i="1"/>
  <c r="BE213" i="1" s="1"/>
  <c r="CL213" i="1"/>
  <c r="CM213" i="1" s="1"/>
  <c r="CD213" i="1"/>
  <c r="CE213" i="1" s="1"/>
  <c r="BH213" i="1"/>
  <c r="BI213" i="1" s="1"/>
  <c r="BS213" i="1"/>
  <c r="BT213" i="1" s="1"/>
  <c r="BW213" i="1" s="1"/>
  <c r="CS213" i="1"/>
  <c r="CT213" i="1" s="1"/>
  <c r="CW213" i="1"/>
  <c r="CX213" i="1" s="1"/>
  <c r="DD214" i="1" l="1"/>
  <c r="DE214" i="1" s="1"/>
  <c r="DL214" i="1"/>
  <c r="DM214" i="1" s="1"/>
  <c r="DM244" i="1" s="1"/>
  <c r="DP214" i="1"/>
  <c r="DQ214" i="1" s="1"/>
  <c r="DQ244" i="1" s="1"/>
  <c r="DX212" i="1"/>
  <c r="DX152" i="1"/>
  <c r="EB152" i="1" s="1"/>
  <c r="DX266" i="1"/>
  <c r="EB87" i="1"/>
  <c r="BL18" i="1"/>
  <c r="DX18" i="1" s="1"/>
  <c r="BL267" i="1"/>
  <c r="BL153" i="1"/>
  <c r="BL183" i="1" s="1"/>
  <c r="BL88" i="1"/>
  <c r="BL213" i="1"/>
  <c r="BW267" i="1"/>
  <c r="BW297" i="1" s="1"/>
  <c r="DA267" i="1"/>
  <c r="DA297" i="1" s="1"/>
  <c r="DA213" i="1"/>
  <c r="CX49" i="1"/>
  <c r="DA19" i="1"/>
  <c r="AL49" i="1"/>
  <c r="AW19" i="1"/>
  <c r="CP213" i="1"/>
  <c r="CI297" i="1"/>
  <c r="CP267" i="1"/>
  <c r="CP297" i="1" s="1"/>
  <c r="DA183" i="1"/>
  <c r="AW214" i="1"/>
  <c r="AH244" i="1"/>
  <c r="BT49" i="1"/>
  <c r="BW49" i="1"/>
  <c r="BP297" i="1"/>
  <c r="CI49" i="1"/>
  <c r="AW267" i="1"/>
  <c r="AD183" i="1"/>
  <c r="AW89" i="1"/>
  <c r="AT119" i="1"/>
  <c r="BA297" i="1"/>
  <c r="CP183" i="1"/>
  <c r="CM183" i="1"/>
  <c r="L14" i="9"/>
  <c r="CT183" i="1"/>
  <c r="CE244" i="1"/>
  <c r="AW153" i="1"/>
  <c r="DT214" i="1"/>
  <c r="DU214" i="1" s="1"/>
  <c r="DU244" i="1" s="1"/>
  <c r="DH214" i="1"/>
  <c r="DI214" i="1" s="1"/>
  <c r="DI244" i="1" s="1"/>
  <c r="BH214" i="1"/>
  <c r="BI214" i="1" s="1"/>
  <c r="BI244" i="1" s="1"/>
  <c r="CH214" i="1"/>
  <c r="CI214" i="1" s="1"/>
  <c r="CL214" i="1"/>
  <c r="CM214" i="1" s="1"/>
  <c r="CM244" i="1" s="1"/>
  <c r="AZ214" i="1"/>
  <c r="BA214" i="1" s="1"/>
  <c r="BS214" i="1"/>
  <c r="BT214" i="1" s="1"/>
  <c r="BW214" i="1" s="1"/>
  <c r="BD214" i="1"/>
  <c r="BE214" i="1" s="1"/>
  <c r="BE244" i="1" s="1"/>
  <c r="CS214" i="1"/>
  <c r="CT214" i="1" s="1"/>
  <c r="CW214" i="1"/>
  <c r="CX214" i="1" s="1"/>
  <c r="CX244" i="1" s="1"/>
  <c r="CT297" i="1"/>
  <c r="CL89" i="1"/>
  <c r="CM89" i="1" s="1"/>
  <c r="BD19" i="1"/>
  <c r="BE19" i="1" s="1"/>
  <c r="BH19" i="1"/>
  <c r="BI19" i="1" s="1"/>
  <c r="BI49" i="1" s="1"/>
  <c r="BD89" i="1"/>
  <c r="BE89" i="1" s="1"/>
  <c r="BH89" i="1"/>
  <c r="BI89" i="1" s="1"/>
  <c r="BI119" i="1" s="1"/>
  <c r="AH297" i="1"/>
  <c r="CL19" i="1"/>
  <c r="CM19" i="1" s="1"/>
  <c r="CM49" i="1" s="1"/>
  <c r="BA183" i="1"/>
  <c r="DX153" i="1" l="1"/>
  <c r="EB153" i="1" s="1"/>
  <c r="L15" i="9" s="1"/>
  <c r="DX213" i="1"/>
  <c r="DX88" i="1"/>
  <c r="EB88" i="1" s="1"/>
  <c r="DX267" i="1"/>
  <c r="AW244" i="1"/>
  <c r="BL19" i="1"/>
  <c r="AW49" i="1"/>
  <c r="BL214" i="1"/>
  <c r="BL89" i="1"/>
  <c r="DX89" i="1" s="1"/>
  <c r="C14" i="9"/>
  <c r="DA214" i="1"/>
  <c r="CT244" i="1"/>
  <c r="BE119" i="1"/>
  <c r="CP89" i="1"/>
  <c r="CP19" i="1"/>
  <c r="CP49" i="1" s="1"/>
  <c r="CI244" i="1"/>
  <c r="CP214" i="1"/>
  <c r="CP244" i="1" s="1"/>
  <c r="DE244" i="1"/>
  <c r="AW297" i="1"/>
  <c r="BT244" i="1"/>
  <c r="BW244" i="1"/>
  <c r="BA244" i="1"/>
  <c r="DA119" i="1"/>
  <c r="DA49" i="1"/>
  <c r="AW183" i="1"/>
  <c r="AW119" i="1"/>
  <c r="BE49" i="1"/>
  <c r="CM119" i="1"/>
  <c r="C13" i="9"/>
  <c r="BL119" i="1" l="1"/>
  <c r="DX214" i="1"/>
  <c r="DX19" i="1"/>
  <c r="EB89" i="1"/>
  <c r="C15" i="9" s="1"/>
  <c r="CP119" i="1"/>
  <c r="DX183" i="1"/>
  <c r="DA244" i="1"/>
  <c r="DX119" i="1" l="1"/>
  <c r="C16" i="9"/>
  <c r="C47" i="9" s="1"/>
  <c r="EB119" i="1"/>
  <c r="L16" i="9"/>
  <c r="L47" i="9" s="1"/>
  <c r="EB183" i="1"/>
  <c r="C72" i="6" l="1"/>
  <c r="EB285" i="1" l="1"/>
  <c r="EA35" i="1" l="1"/>
  <c r="AA72" i="6"/>
  <c r="AA86" i="6" s="1"/>
  <c r="AC72" i="6"/>
  <c r="AC86" i="6" s="1"/>
  <c r="EE35" i="1" l="1"/>
  <c r="C33" i="5" s="1"/>
  <c r="H36" i="12"/>
  <c r="EB20" i="1"/>
  <c r="EB33" i="1"/>
  <c r="EB32" i="1"/>
  <c r="EB25" i="1"/>
  <c r="EB21" i="1"/>
  <c r="EB26" i="1"/>
  <c r="EB34" i="1"/>
  <c r="EB31" i="1"/>
  <c r="EB28" i="1"/>
  <c r="EB35" i="1"/>
  <c r="EB29" i="1"/>
  <c r="EB30" i="1"/>
  <c r="EB27" i="1"/>
  <c r="EB36" i="1"/>
  <c r="O34" i="9" s="1"/>
  <c r="EB22" i="1"/>
  <c r="EB24" i="1"/>
  <c r="EB23" i="1"/>
  <c r="EB18" i="1"/>
  <c r="EB17" i="1"/>
  <c r="EB16" i="1"/>
  <c r="EB15" i="1"/>
  <c r="EB14" i="1"/>
  <c r="EB13" i="1"/>
  <c r="EB12" i="1"/>
  <c r="AB72" i="6"/>
  <c r="BK49" i="1"/>
  <c r="EA206" i="1" l="1"/>
  <c r="EC206" i="1" s="1"/>
  <c r="EA236" i="1"/>
  <c r="EA218" i="1"/>
  <c r="EA240" i="1"/>
  <c r="EA220" i="1"/>
  <c r="EA208" i="1"/>
  <c r="EA228" i="1"/>
  <c r="EA227" i="1"/>
  <c r="EA222" i="1"/>
  <c r="EA215" i="1"/>
  <c r="EA217" i="1"/>
  <c r="EA230" i="1"/>
  <c r="EA223" i="1"/>
  <c r="EA233" i="1"/>
  <c r="EA239" i="1"/>
  <c r="EA226" i="1"/>
  <c r="EA224" i="1"/>
  <c r="EA210" i="1"/>
  <c r="EA242" i="1"/>
  <c r="EA229" i="1"/>
  <c r="EA216" i="1"/>
  <c r="EA214" i="1"/>
  <c r="EA234" i="1"/>
  <c r="EA221" i="1"/>
  <c r="EA241" i="1"/>
  <c r="EA212" i="1"/>
  <c r="EA235" i="1"/>
  <c r="EA219" i="1"/>
  <c r="EA232" i="1"/>
  <c r="EA207" i="1"/>
  <c r="EA237" i="1"/>
  <c r="EA209" i="1"/>
  <c r="EA225" i="1"/>
  <c r="EA238" i="1"/>
  <c r="EA211" i="1"/>
  <c r="EA213" i="1"/>
  <c r="EA231" i="1"/>
  <c r="EC20" i="1"/>
  <c r="G21" i="12"/>
  <c r="I21" i="12" s="1"/>
  <c r="EC29" i="1"/>
  <c r="O26" i="9"/>
  <c r="G30" i="12"/>
  <c r="I30" i="12" s="1"/>
  <c r="EC35" i="1"/>
  <c r="G36" i="12"/>
  <c r="I36" i="12" s="1"/>
  <c r="O32" i="9"/>
  <c r="G29" i="12"/>
  <c r="I29" i="12" s="1"/>
  <c r="EC28" i="1"/>
  <c r="O25" i="9"/>
  <c r="O28" i="9"/>
  <c r="EC31" i="1"/>
  <c r="G32" i="12"/>
  <c r="I32" i="12" s="1"/>
  <c r="EC23" i="1"/>
  <c r="O20" i="9"/>
  <c r="G24" i="12"/>
  <c r="I24" i="12" s="1"/>
  <c r="EC34" i="1"/>
  <c r="O31" i="9"/>
  <c r="G35" i="12"/>
  <c r="I35" i="12" s="1"/>
  <c r="O21" i="9"/>
  <c r="EC24" i="1"/>
  <c r="G25" i="12"/>
  <c r="I25" i="12" s="1"/>
  <c r="O23" i="9"/>
  <c r="EC26" i="1"/>
  <c r="G27" i="12"/>
  <c r="I27" i="12" s="1"/>
  <c r="G23" i="12"/>
  <c r="I23" i="12" s="1"/>
  <c r="EC22" i="1"/>
  <c r="O19" i="9"/>
  <c r="EC21" i="1"/>
  <c r="O18" i="9"/>
  <c r="G22" i="12"/>
  <c r="I22" i="12" s="1"/>
  <c r="G37" i="12"/>
  <c r="O33" i="9"/>
  <c r="EC25" i="1"/>
  <c r="O22" i="9"/>
  <c r="G26" i="12"/>
  <c r="I26" i="12" s="1"/>
  <c r="EC27" i="1"/>
  <c r="O24" i="9"/>
  <c r="G28" i="12"/>
  <c r="I28" i="12" s="1"/>
  <c r="O29" i="9"/>
  <c r="G33" i="12"/>
  <c r="I33" i="12" s="1"/>
  <c r="EC32" i="1"/>
  <c r="O27" i="9"/>
  <c r="EC30" i="1"/>
  <c r="G31" i="12"/>
  <c r="I31" i="12" s="1"/>
  <c r="EC33" i="1"/>
  <c r="O30" i="9"/>
  <c r="G34" i="12"/>
  <c r="I34" i="12" s="1"/>
  <c r="O10" i="9"/>
  <c r="G14" i="12"/>
  <c r="I14" i="12" s="1"/>
  <c r="EC13" i="1"/>
  <c r="G15" i="12"/>
  <c r="I15" i="12" s="1"/>
  <c r="O11" i="9"/>
  <c r="EC14" i="1"/>
  <c r="O13" i="9"/>
  <c r="EC16" i="1"/>
  <c r="G17" i="12"/>
  <c r="I17" i="12" s="1"/>
  <c r="G13" i="12"/>
  <c r="I13" i="12" s="1"/>
  <c r="EC12" i="1"/>
  <c r="G16" i="12"/>
  <c r="I16" i="12" s="1"/>
  <c r="O12" i="9"/>
  <c r="EC15" i="1"/>
  <c r="G18" i="12"/>
  <c r="I18" i="12" s="1"/>
  <c r="O14" i="9"/>
  <c r="EC17" i="1"/>
  <c r="EC18" i="1"/>
  <c r="G19" i="12"/>
  <c r="I19" i="12" s="1"/>
  <c r="O15" i="9"/>
  <c r="EB19" i="1"/>
  <c r="EC19" i="1" s="1"/>
  <c r="EB11" i="1"/>
  <c r="O9" i="9" s="1"/>
  <c r="EB206" i="1"/>
  <c r="AB86" i="6"/>
  <c r="AN72" i="6"/>
  <c r="AB93" i="6"/>
  <c r="AB107" i="6" s="1"/>
  <c r="EA36" i="1"/>
  <c r="DW49" i="1"/>
  <c r="EE40" i="1" l="1"/>
  <c r="EE37" i="1"/>
  <c r="EE44" i="1"/>
  <c r="EE42" i="1"/>
  <c r="EE45" i="1"/>
  <c r="EE43" i="1"/>
  <c r="EE38" i="1"/>
  <c r="EE39" i="1"/>
  <c r="EE36" i="1"/>
  <c r="EE41" i="1"/>
  <c r="EC207" i="1"/>
  <c r="O17" i="9"/>
  <c r="EB215" i="1"/>
  <c r="BL49" i="1"/>
  <c r="EB231" i="1"/>
  <c r="D33" i="9" s="1"/>
  <c r="EB221" i="1"/>
  <c r="D23" i="9" s="1"/>
  <c r="EB219" i="1"/>
  <c r="EB229" i="1"/>
  <c r="EB230" i="1"/>
  <c r="D32" i="9" s="1"/>
  <c r="EB220" i="1"/>
  <c r="D22" i="9" s="1"/>
  <c r="EB224" i="1"/>
  <c r="EB218" i="1"/>
  <c r="EB217" i="1"/>
  <c r="D19" i="9" s="1"/>
  <c r="EB227" i="1"/>
  <c r="EB222" i="1"/>
  <c r="EB228" i="1"/>
  <c r="EB226" i="1"/>
  <c r="D28" i="9" s="1"/>
  <c r="EB225" i="1"/>
  <c r="D27" i="9" s="1"/>
  <c r="EB216" i="1"/>
  <c r="D18" i="9" s="1"/>
  <c r="EB223" i="1"/>
  <c r="D25" i="9" s="1"/>
  <c r="EB211" i="1"/>
  <c r="EB212" i="1"/>
  <c r="EB210" i="1"/>
  <c r="D12" i="9" s="1"/>
  <c r="EB213" i="1"/>
  <c r="EB208" i="1"/>
  <c r="EB207" i="1"/>
  <c r="D9" i="9" s="1"/>
  <c r="EB214" i="1"/>
  <c r="D16" i="9" s="1"/>
  <c r="EB209" i="1"/>
  <c r="D11" i="9" s="1"/>
  <c r="G20" i="12"/>
  <c r="I20" i="12" s="1"/>
  <c r="O16" i="9"/>
  <c r="AB109" i="6"/>
  <c r="AK93" i="6"/>
  <c r="AK107" i="6" s="1"/>
  <c r="AK109" i="6" s="1"/>
  <c r="K93" i="6"/>
  <c r="K107" i="6" s="1"/>
  <c r="K109" i="6" s="1"/>
  <c r="AH93" i="6"/>
  <c r="AH107" i="6" s="1"/>
  <c r="AH109" i="6" s="1"/>
  <c r="J93" i="6"/>
  <c r="J107" i="6" s="1"/>
  <c r="J109" i="6" s="1"/>
  <c r="V93" i="6"/>
  <c r="V107" i="6" s="1"/>
  <c r="V109" i="6" s="1"/>
  <c r="X93" i="6"/>
  <c r="X107" i="6" s="1"/>
  <c r="X109" i="6" s="1"/>
  <c r="N93" i="6"/>
  <c r="N107" i="6" s="1"/>
  <c r="N109" i="6" s="1"/>
  <c r="AF93" i="6"/>
  <c r="AF107" i="6" s="1"/>
  <c r="AF109" i="6" s="1"/>
  <c r="BK244" i="1"/>
  <c r="AJ93" i="6"/>
  <c r="AJ107" i="6" s="1"/>
  <c r="AJ109" i="6" s="1"/>
  <c r="D93" i="6"/>
  <c r="AL93" i="6"/>
  <c r="AL107" i="6" s="1"/>
  <c r="AL109" i="6" s="1"/>
  <c r="O93" i="6"/>
  <c r="O107" i="6" s="1"/>
  <c r="O109" i="6" s="1"/>
  <c r="AM93" i="6"/>
  <c r="AM107" i="6" s="1"/>
  <c r="AM109" i="6" s="1"/>
  <c r="T93" i="6"/>
  <c r="T107" i="6" s="1"/>
  <c r="T109" i="6" s="1"/>
  <c r="Y93" i="6"/>
  <c r="Y107" i="6" s="1"/>
  <c r="Y109" i="6" s="1"/>
  <c r="S93" i="6"/>
  <c r="S107" i="6" s="1"/>
  <c r="S109" i="6" s="1"/>
  <c r="AG93" i="6"/>
  <c r="AG107" i="6" s="1"/>
  <c r="AG109" i="6" s="1"/>
  <c r="H93" i="6"/>
  <c r="H107" i="6" s="1"/>
  <c r="H109" i="6" s="1"/>
  <c r="AC93" i="6"/>
  <c r="AC107" i="6" s="1"/>
  <c r="AC109" i="6" s="1"/>
  <c r="C86" i="6"/>
  <c r="R93" i="6"/>
  <c r="R107" i="6" s="1"/>
  <c r="R109" i="6" s="1"/>
  <c r="G93" i="6"/>
  <c r="G107" i="6" s="1"/>
  <c r="G109" i="6" s="1"/>
  <c r="Q93" i="6"/>
  <c r="Q107" i="6" s="1"/>
  <c r="Q109" i="6" s="1"/>
  <c r="F93" i="6"/>
  <c r="F107" i="6" s="1"/>
  <c r="F109" i="6" s="1"/>
  <c r="E93" i="6"/>
  <c r="E107" i="6" s="1"/>
  <c r="E109" i="6" s="1"/>
  <c r="I93" i="6"/>
  <c r="I107" i="6" s="1"/>
  <c r="I109" i="6" s="1"/>
  <c r="AD93" i="6"/>
  <c r="AD107" i="6" s="1"/>
  <c r="AD109" i="6" s="1"/>
  <c r="Z93" i="6"/>
  <c r="Z107" i="6" s="1"/>
  <c r="Z109" i="6" s="1"/>
  <c r="D9" i="5"/>
  <c r="D10" i="5"/>
  <c r="D11" i="5"/>
  <c r="D12" i="5"/>
  <c r="D13" i="5"/>
  <c r="H37" i="12"/>
  <c r="D22" i="5"/>
  <c r="D32" i="5"/>
  <c r="D23" i="5"/>
  <c r="D33" i="5"/>
  <c r="D24" i="5"/>
  <c r="D15" i="5"/>
  <c r="D14" i="5"/>
  <c r="D25" i="5"/>
  <c r="D16" i="5"/>
  <c r="D26" i="5"/>
  <c r="D17" i="5"/>
  <c r="D27" i="5"/>
  <c r="D18" i="5"/>
  <c r="D28" i="5"/>
  <c r="D19" i="5"/>
  <c r="D29" i="5"/>
  <c r="D21" i="5"/>
  <c r="D30" i="5"/>
  <c r="D20" i="5"/>
  <c r="D31" i="5"/>
  <c r="EC36" i="1"/>
  <c r="EA49" i="1"/>
  <c r="C8" i="5" s="1"/>
  <c r="D8" i="5" s="1"/>
  <c r="W93" i="6"/>
  <c r="W107" i="6" s="1"/>
  <c r="W109" i="6" s="1"/>
  <c r="C93" i="6"/>
  <c r="AI93" i="6"/>
  <c r="AI107" i="6" s="1"/>
  <c r="AI109" i="6" s="1"/>
  <c r="M93" i="6"/>
  <c r="M107" i="6" s="1"/>
  <c r="M109" i="6" s="1"/>
  <c r="U93" i="6"/>
  <c r="U107" i="6" s="1"/>
  <c r="U109" i="6" s="1"/>
  <c r="AA93" i="6"/>
  <c r="AA107" i="6" s="1"/>
  <c r="AA109" i="6" s="1"/>
  <c r="AQ72" i="6"/>
  <c r="L93" i="6"/>
  <c r="P93" i="6"/>
  <c r="P107" i="6" s="1"/>
  <c r="P109" i="6" s="1"/>
  <c r="AE93" i="6"/>
  <c r="AE107" i="6" s="1"/>
  <c r="AE109" i="6" s="1"/>
  <c r="C39" i="5" l="1"/>
  <c r="D39" i="5" s="1"/>
  <c r="C34" i="5"/>
  <c r="D34" i="5" s="1"/>
  <c r="AQ93" i="6"/>
  <c r="C37" i="5"/>
  <c r="D37" i="5" s="1"/>
  <c r="C36" i="5"/>
  <c r="D36" i="5" s="1"/>
  <c r="C43" i="5"/>
  <c r="D43" i="5" s="1"/>
  <c r="N43" i="9" s="1"/>
  <c r="C42" i="5"/>
  <c r="D42" i="5" s="1"/>
  <c r="N42" i="9" s="1"/>
  <c r="C35" i="5"/>
  <c r="D35" i="5" s="1"/>
  <c r="N35" i="9" s="1"/>
  <c r="C41" i="5"/>
  <c r="D41" i="5" s="1"/>
  <c r="C40" i="5"/>
  <c r="D40" i="5" s="1"/>
  <c r="C38" i="5"/>
  <c r="D38" i="5" s="1"/>
  <c r="N8" i="9"/>
  <c r="D31" i="9"/>
  <c r="D21" i="9"/>
  <c r="D30" i="9"/>
  <c r="D29" i="9"/>
  <c r="D17" i="9"/>
  <c r="D8" i="9"/>
  <c r="D10" i="9"/>
  <c r="D24" i="9"/>
  <c r="D15" i="9"/>
  <c r="D14" i="9"/>
  <c r="D20" i="9"/>
  <c r="D13" i="9"/>
  <c r="D26" i="9"/>
  <c r="D13" i="12"/>
  <c r="N29" i="9"/>
  <c r="N12" i="9"/>
  <c r="EC208" i="1"/>
  <c r="EC209" i="1" s="1"/>
  <c r="N21" i="9"/>
  <c r="N16" i="9"/>
  <c r="N18" i="9"/>
  <c r="N23" i="9"/>
  <c r="N9" i="9"/>
  <c r="N28" i="9"/>
  <c r="N26" i="9"/>
  <c r="N31" i="9"/>
  <c r="N30" i="9"/>
  <c r="N25" i="9"/>
  <c r="N19" i="9"/>
  <c r="N24" i="9"/>
  <c r="N20" i="9"/>
  <c r="N11" i="9"/>
  <c r="N10" i="9"/>
  <c r="D107" i="6"/>
  <c r="D109" i="6" s="1"/>
  <c r="N33" i="9"/>
  <c r="N32" i="9"/>
  <c r="N27" i="9"/>
  <c r="N17" i="9"/>
  <c r="N22" i="9"/>
  <c r="N15" i="9"/>
  <c r="N13" i="9"/>
  <c r="N14" i="9"/>
  <c r="EA260" i="1"/>
  <c r="EA280" i="1"/>
  <c r="EA263" i="1"/>
  <c r="EA270" i="1"/>
  <c r="EA276" i="1"/>
  <c r="EA278" i="1"/>
  <c r="EA277" i="1"/>
  <c r="EA273" i="1"/>
  <c r="EA266" i="1"/>
  <c r="EA268" i="1"/>
  <c r="EA269" i="1"/>
  <c r="EA261" i="1"/>
  <c r="EA279" i="1"/>
  <c r="EA267" i="1"/>
  <c r="EA264" i="1"/>
  <c r="EA274" i="1"/>
  <c r="EA271" i="1"/>
  <c r="EA262" i="1"/>
  <c r="EA275" i="1"/>
  <c r="EA259" i="1"/>
  <c r="EA265" i="1"/>
  <c r="EA272" i="1"/>
  <c r="DX49" i="1"/>
  <c r="EB268" i="1"/>
  <c r="EB272" i="1"/>
  <c r="EB276" i="1"/>
  <c r="EB283" i="1"/>
  <c r="EB282" i="1"/>
  <c r="EB275" i="1"/>
  <c r="EB269" i="1"/>
  <c r="EB274" i="1"/>
  <c r="EB271" i="1"/>
  <c r="EB280" i="1"/>
  <c r="EB279" i="1"/>
  <c r="EB278" i="1"/>
  <c r="EB284" i="1"/>
  <c r="EB270" i="1"/>
  <c r="EB281" i="1"/>
  <c r="EB277" i="1"/>
  <c r="EB273" i="1"/>
  <c r="EB262" i="1"/>
  <c r="EB264" i="1"/>
  <c r="EB266" i="1"/>
  <c r="EB260" i="1"/>
  <c r="EB263" i="1"/>
  <c r="EB259" i="1"/>
  <c r="EB267" i="1"/>
  <c r="EB265" i="1"/>
  <c r="EB261" i="1"/>
  <c r="C107" i="6"/>
  <c r="C109" i="6" s="1"/>
  <c r="L107" i="6"/>
  <c r="L109" i="6" s="1"/>
  <c r="DW244" i="1"/>
  <c r="H50" i="12"/>
  <c r="I37" i="12"/>
  <c r="AN86" i="6"/>
  <c r="BL244" i="1"/>
  <c r="EB69" i="1"/>
  <c r="G12" i="12"/>
  <c r="O8" i="9"/>
  <c r="EC11" i="1"/>
  <c r="EB49" i="1"/>
  <c r="BK297" i="1"/>
  <c r="EC277" i="1" l="1"/>
  <c r="EC276" i="1" s="1"/>
  <c r="EC275" i="1" s="1"/>
  <c r="EC274" i="1" s="1"/>
  <c r="EC273" i="1" s="1"/>
  <c r="EC272" i="1" s="1"/>
  <c r="EC271" i="1" s="1"/>
  <c r="EC270" i="1" s="1"/>
  <c r="EC269" i="1" s="1"/>
  <c r="EC268" i="1" s="1"/>
  <c r="EC267" i="1" s="1"/>
  <c r="EC266" i="1" s="1"/>
  <c r="EC265" i="1" s="1"/>
  <c r="EC264" i="1" s="1"/>
  <c r="EC263" i="1" s="1"/>
  <c r="EC262" i="1" s="1"/>
  <c r="EC261" i="1" s="1"/>
  <c r="EC260" i="1" s="1"/>
  <c r="EC259" i="1" s="1"/>
  <c r="N40" i="9"/>
  <c r="N41" i="9"/>
  <c r="N36" i="9"/>
  <c r="N37" i="9"/>
  <c r="N34" i="9"/>
  <c r="D47" i="5"/>
  <c r="N38" i="9"/>
  <c r="N39" i="9"/>
  <c r="C53" i="6"/>
  <c r="D53" i="6" s="1"/>
  <c r="D14" i="12"/>
  <c r="D15" i="12"/>
  <c r="EC210" i="1"/>
  <c r="D16" i="12" s="1"/>
  <c r="EC49" i="1"/>
  <c r="O47" i="9"/>
  <c r="AQ86" i="6"/>
  <c r="AN109" i="6"/>
  <c r="I12" i="12"/>
  <c r="G50" i="12"/>
  <c r="DX244" i="1"/>
  <c r="BL297" i="1"/>
  <c r="EA244" i="1"/>
  <c r="DW297" i="1"/>
  <c r="EA297" i="1"/>
  <c r="N47" i="9" l="1"/>
  <c r="EC211" i="1"/>
  <c r="D17" i="12" s="1"/>
  <c r="E53" i="6"/>
  <c r="DX297" i="1"/>
  <c r="EB244" i="1"/>
  <c r="EA298" i="1"/>
  <c r="I50" i="12"/>
  <c r="EC212" i="1" l="1"/>
  <c r="D18" i="12"/>
  <c r="D47" i="9"/>
  <c r="EB297" i="1"/>
  <c r="F53" i="6"/>
  <c r="EC213" i="1" l="1"/>
  <c r="D19" i="12"/>
  <c r="C111" i="6"/>
  <c r="G53" i="6"/>
  <c r="EC214" i="1" l="1"/>
  <c r="D20" i="12"/>
  <c r="H53" i="6"/>
  <c r="C123" i="6"/>
  <c r="C119" i="6"/>
  <c r="C120" i="6"/>
  <c r="C121" i="6"/>
  <c r="C122" i="6"/>
  <c r="C118" i="6"/>
  <c r="C126" i="6" l="1"/>
  <c r="C172" i="6" s="1"/>
  <c r="C10" i="8" s="1"/>
  <c r="EC215" i="1"/>
  <c r="D21" i="12"/>
  <c r="I53" i="6"/>
  <c r="EC216" i="1" l="1"/>
  <c r="D22" i="12"/>
  <c r="C131" i="6"/>
  <c r="C11" i="6" s="1"/>
  <c r="C136" i="6"/>
  <c r="C16" i="6" s="1"/>
  <c r="C133" i="6"/>
  <c r="C13" i="6" s="1"/>
  <c r="C141" i="6"/>
  <c r="C21" i="6" s="1"/>
  <c r="C140" i="6"/>
  <c r="C20" i="6" s="1"/>
  <c r="C145" i="6"/>
  <c r="C25" i="6" s="1"/>
  <c r="C134" i="6"/>
  <c r="C14" i="6" s="1"/>
  <c r="C139" i="6"/>
  <c r="C19" i="6" s="1"/>
  <c r="C135" i="6"/>
  <c r="C15" i="6" s="1"/>
  <c r="C142" i="6"/>
  <c r="C22" i="6" s="1"/>
  <c r="C147" i="6"/>
  <c r="C27" i="6" s="1"/>
  <c r="C144" i="6"/>
  <c r="C24" i="6" s="1"/>
  <c r="C143" i="6"/>
  <c r="C23" i="6" s="1"/>
  <c r="C154" i="6"/>
  <c r="C34" i="6" s="1"/>
  <c r="C146" i="6"/>
  <c r="C26" i="6" s="1"/>
  <c r="C148" i="6"/>
  <c r="C28" i="6" s="1"/>
  <c r="C138" i="6"/>
  <c r="C18" i="6" s="1"/>
  <c r="C153" i="6"/>
  <c r="C33" i="6" s="1"/>
  <c r="C165" i="6"/>
  <c r="C45" i="6" s="1"/>
  <c r="C137" i="6"/>
  <c r="C17" i="6" s="1"/>
  <c r="C161" i="6"/>
  <c r="C41" i="6" s="1"/>
  <c r="C159" i="6"/>
  <c r="C39" i="6" s="1"/>
  <c r="C156" i="6"/>
  <c r="C36" i="6" s="1"/>
  <c r="C162" i="6"/>
  <c r="C42" i="6" s="1"/>
  <c r="C132" i="6"/>
  <c r="C12" i="6" s="1"/>
  <c r="C167" i="6"/>
  <c r="C47" i="6" s="1"/>
  <c r="C150" i="6"/>
  <c r="C30" i="6" s="1"/>
  <c r="C157" i="6"/>
  <c r="C37" i="6" s="1"/>
  <c r="C160" i="6"/>
  <c r="C40" i="6" s="1"/>
  <c r="C163" i="6"/>
  <c r="C43" i="6" s="1"/>
  <c r="C164" i="6"/>
  <c r="C44" i="6" s="1"/>
  <c r="C158" i="6"/>
  <c r="C38" i="6" s="1"/>
  <c r="C166" i="6"/>
  <c r="C46" i="6" s="1"/>
  <c r="C155" i="6"/>
  <c r="C35" i="6" s="1"/>
  <c r="C152" i="6"/>
  <c r="C32" i="6" s="1"/>
  <c r="D57" i="6"/>
  <c r="J53" i="6"/>
  <c r="C149" i="6" l="1"/>
  <c r="C29" i="6" s="1"/>
  <c r="EC217" i="1"/>
  <c r="D23" i="12"/>
  <c r="D58" i="6"/>
  <c r="D60" i="6" s="1"/>
  <c r="K53" i="6"/>
  <c r="C151" i="6" l="1"/>
  <c r="C31" i="6" s="1"/>
  <c r="C49" i="6" s="1"/>
  <c r="EC218" i="1"/>
  <c r="D24" i="12"/>
  <c r="C12" i="12"/>
  <c r="F9" i="11"/>
  <c r="B8" i="11"/>
  <c r="C169" i="6"/>
  <c r="C170" i="6" s="1"/>
  <c r="D111" i="6"/>
  <c r="C174" i="6"/>
  <c r="L53" i="6"/>
  <c r="EC219" i="1" l="1"/>
  <c r="D25" i="12"/>
  <c r="B46" i="8"/>
  <c r="G46" i="8" s="1"/>
  <c r="H46" i="8" s="1"/>
  <c r="F44" i="9" s="1"/>
  <c r="M53" i="6"/>
  <c r="D123" i="6"/>
  <c r="D122" i="6"/>
  <c r="D119" i="6"/>
  <c r="D120" i="6"/>
  <c r="D121" i="6"/>
  <c r="D118" i="6"/>
  <c r="EC220" i="1" l="1"/>
  <c r="D26" i="12"/>
  <c r="D126" i="6"/>
  <c r="B8" i="10" s="1"/>
  <c r="D8" i="10" s="1"/>
  <c r="H8" i="9" s="1"/>
  <c r="N53" i="6"/>
  <c r="B45" i="8"/>
  <c r="G45" i="8" s="1"/>
  <c r="H45" i="8" s="1"/>
  <c r="F43" i="9" s="1"/>
  <c r="EC221" i="1" l="1"/>
  <c r="D27" i="12"/>
  <c r="B44" i="8"/>
  <c r="D149" i="6"/>
  <c r="D29" i="6" s="1"/>
  <c r="D132" i="6"/>
  <c r="D12" i="6" s="1"/>
  <c r="D166" i="6"/>
  <c r="D46" i="6" s="1"/>
  <c r="D146" i="6"/>
  <c r="D26" i="6" s="1"/>
  <c r="D135" i="6"/>
  <c r="D15" i="6" s="1"/>
  <c r="D153" i="6"/>
  <c r="D33" i="6" s="1"/>
  <c r="D143" i="6"/>
  <c r="D23" i="6" s="1"/>
  <c r="D156" i="6"/>
  <c r="D36" i="6" s="1"/>
  <c r="D141" i="6"/>
  <c r="D21" i="6" s="1"/>
  <c r="D144" i="6"/>
  <c r="D24" i="6" s="1"/>
  <c r="D158" i="6"/>
  <c r="D38" i="6" s="1"/>
  <c r="D142" i="6"/>
  <c r="D22" i="6" s="1"/>
  <c r="D163" i="6"/>
  <c r="D43" i="6" s="1"/>
  <c r="D134" i="6"/>
  <c r="D14" i="6" s="1"/>
  <c r="D150" i="6"/>
  <c r="D30" i="6" s="1"/>
  <c r="D133" i="6"/>
  <c r="D13" i="6" s="1"/>
  <c r="D136" i="6"/>
  <c r="D16" i="6" s="1"/>
  <c r="D155" i="6"/>
  <c r="D35" i="6" s="1"/>
  <c r="D161" i="6"/>
  <c r="D41" i="6" s="1"/>
  <c r="D137" i="6"/>
  <c r="D17" i="6" s="1"/>
  <c r="D139" i="6"/>
  <c r="D19" i="6" s="1"/>
  <c r="D138" i="6"/>
  <c r="D18" i="6" s="1"/>
  <c r="D131" i="6"/>
  <c r="D165" i="6"/>
  <c r="D45" i="6" s="1"/>
  <c r="D162" i="6"/>
  <c r="D42" i="6" s="1"/>
  <c r="D160" i="6"/>
  <c r="D40" i="6" s="1"/>
  <c r="D145" i="6"/>
  <c r="D25" i="6" s="1"/>
  <c r="D140" i="6"/>
  <c r="D20" i="6" s="1"/>
  <c r="D147" i="6"/>
  <c r="D27" i="6" s="1"/>
  <c r="D154" i="6"/>
  <c r="D34" i="6" s="1"/>
  <c r="D151" i="6"/>
  <c r="D31" i="6" s="1"/>
  <c r="D167" i="6"/>
  <c r="D47" i="6" s="1"/>
  <c r="D148" i="6"/>
  <c r="D28" i="6" s="1"/>
  <c r="D164" i="6"/>
  <c r="D44" i="6" s="1"/>
  <c r="D157" i="6"/>
  <c r="D37" i="6" s="1"/>
  <c r="D159" i="6"/>
  <c r="D39" i="6" s="1"/>
  <c r="D172" i="6"/>
  <c r="O53" i="6"/>
  <c r="E57" i="6" l="1"/>
  <c r="C11" i="8"/>
  <c r="EC222" i="1"/>
  <c r="D28" i="12"/>
  <c r="E58" i="6"/>
  <c r="D152" i="6"/>
  <c r="D32" i="6" s="1"/>
  <c r="P53" i="6"/>
  <c r="B43" i="8"/>
  <c r="G44" i="8"/>
  <c r="H44" i="8" s="1"/>
  <c r="F42" i="9" s="1"/>
  <c r="E60" i="6" l="1"/>
  <c r="E111" i="6" s="1"/>
  <c r="EC223" i="1"/>
  <c r="D29" i="12"/>
  <c r="C13" i="12"/>
  <c r="F10" i="11"/>
  <c r="D169" i="6"/>
  <c r="D170" i="6" s="1"/>
  <c r="B42" i="8"/>
  <c r="D49" i="6"/>
  <c r="G43" i="8"/>
  <c r="H43" i="8" s="1"/>
  <c r="F41" i="9" s="1"/>
  <c r="Q53" i="6"/>
  <c r="EC224" i="1" l="1"/>
  <c r="D30" i="12"/>
  <c r="B9" i="11"/>
  <c r="C8" i="11"/>
  <c r="D8" i="11" s="1"/>
  <c r="B41" i="8"/>
  <c r="E121" i="6"/>
  <c r="E120" i="6"/>
  <c r="E118" i="6"/>
  <c r="E122" i="6"/>
  <c r="E123" i="6"/>
  <c r="E119" i="6"/>
  <c r="R53" i="6"/>
  <c r="D174" i="6"/>
  <c r="G42" i="8"/>
  <c r="H42" i="8" s="1"/>
  <c r="F40" i="9" s="1"/>
  <c r="EC225" i="1" l="1"/>
  <c r="D31" i="12"/>
  <c r="G8" i="11"/>
  <c r="I8" i="9" s="1"/>
  <c r="M8" i="9"/>
  <c r="P8" i="9" s="1"/>
  <c r="E126" i="6"/>
  <c r="B9" i="10" s="1"/>
  <c r="D9" i="10" s="1"/>
  <c r="H9" i="9" s="1"/>
  <c r="S53" i="6"/>
  <c r="B40" i="8"/>
  <c r="G41" i="8"/>
  <c r="H41" i="8" s="1"/>
  <c r="F39" i="9" s="1"/>
  <c r="EC226" i="1" l="1"/>
  <c r="D32" i="12"/>
  <c r="B39" i="8"/>
  <c r="G40" i="8"/>
  <c r="H40" i="8" s="1"/>
  <c r="F38" i="9" s="1"/>
  <c r="T53" i="6"/>
  <c r="E151" i="6"/>
  <c r="E31" i="6" s="1"/>
  <c r="E145" i="6"/>
  <c r="E25" i="6" s="1"/>
  <c r="E162" i="6"/>
  <c r="E42" i="6" s="1"/>
  <c r="E136" i="6"/>
  <c r="E16" i="6" s="1"/>
  <c r="E152" i="6"/>
  <c r="E32" i="6" s="1"/>
  <c r="E150" i="6"/>
  <c r="E30" i="6" s="1"/>
  <c r="E164" i="6"/>
  <c r="E44" i="6" s="1"/>
  <c r="E154" i="6"/>
  <c r="E34" i="6" s="1"/>
  <c r="E159" i="6"/>
  <c r="E39" i="6" s="1"/>
  <c r="E140" i="6"/>
  <c r="E20" i="6" s="1"/>
  <c r="E131" i="6"/>
  <c r="E143" i="6"/>
  <c r="E23" i="6" s="1"/>
  <c r="E137" i="6"/>
  <c r="E17" i="6" s="1"/>
  <c r="E156" i="6"/>
  <c r="E36" i="6" s="1"/>
  <c r="E138" i="6"/>
  <c r="E18" i="6" s="1"/>
  <c r="E158" i="6"/>
  <c r="E38" i="6" s="1"/>
  <c r="E160" i="6"/>
  <c r="E40" i="6" s="1"/>
  <c r="E166" i="6"/>
  <c r="E46" i="6" s="1"/>
  <c r="E167" i="6"/>
  <c r="E47" i="6" s="1"/>
  <c r="E132" i="6"/>
  <c r="E157" i="6"/>
  <c r="E37" i="6" s="1"/>
  <c r="E163" i="6"/>
  <c r="E43" i="6" s="1"/>
  <c r="E144" i="6"/>
  <c r="E24" i="6" s="1"/>
  <c r="E141" i="6"/>
  <c r="E21" i="6" s="1"/>
  <c r="E161" i="6"/>
  <c r="E41" i="6" s="1"/>
  <c r="E135" i="6"/>
  <c r="E15" i="6" s="1"/>
  <c r="E148" i="6"/>
  <c r="E28" i="6" s="1"/>
  <c r="E155" i="6"/>
  <c r="E35" i="6" s="1"/>
  <c r="E133" i="6"/>
  <c r="E13" i="6" s="1"/>
  <c r="E134" i="6"/>
  <c r="E14" i="6" s="1"/>
  <c r="E147" i="6"/>
  <c r="E27" i="6" s="1"/>
  <c r="E149" i="6"/>
  <c r="E29" i="6" s="1"/>
  <c r="E139" i="6"/>
  <c r="E19" i="6" s="1"/>
  <c r="E165" i="6"/>
  <c r="E45" i="6" s="1"/>
  <c r="E146" i="6"/>
  <c r="E26" i="6" s="1"/>
  <c r="E142" i="6"/>
  <c r="E22" i="6" s="1"/>
  <c r="E172" i="6"/>
  <c r="F57" i="6" l="1"/>
  <c r="C12" i="8"/>
  <c r="EC227" i="1"/>
  <c r="D33" i="12"/>
  <c r="E153" i="6"/>
  <c r="E33" i="6" s="1"/>
  <c r="E49" i="6" s="1"/>
  <c r="U53" i="6"/>
  <c r="B38" i="8"/>
  <c r="G39" i="8"/>
  <c r="H39" i="8" s="1"/>
  <c r="F37" i="9" s="1"/>
  <c r="F58" i="6"/>
  <c r="F60" i="6" l="1"/>
  <c r="F111" i="6" s="1"/>
  <c r="EC228" i="1"/>
  <c r="D34" i="12"/>
  <c r="C14" i="12"/>
  <c r="F11" i="11"/>
  <c r="C9" i="11"/>
  <c r="D9" i="11" s="1"/>
  <c r="B10" i="11"/>
  <c r="E169" i="6"/>
  <c r="E170" i="6" s="1"/>
  <c r="G38" i="8"/>
  <c r="H38" i="8" s="1"/>
  <c r="F36" i="9" s="1"/>
  <c r="E174" i="6"/>
  <c r="B37" i="8"/>
  <c r="V53" i="6"/>
  <c r="EC229" i="1" l="1"/>
  <c r="D35" i="12"/>
  <c r="G9" i="11"/>
  <c r="I9" i="9" s="1"/>
  <c r="M9" i="9"/>
  <c r="P9" i="9" s="1"/>
  <c r="W53" i="6"/>
  <c r="F123" i="6"/>
  <c r="F122" i="6"/>
  <c r="F121" i="6"/>
  <c r="F120" i="6"/>
  <c r="F118" i="6"/>
  <c r="F119" i="6"/>
  <c r="B36" i="8"/>
  <c r="G37" i="8"/>
  <c r="H37" i="8" s="1"/>
  <c r="F35" i="9" s="1"/>
  <c r="EC230" i="1" l="1"/>
  <c r="D36" i="12"/>
  <c r="X53" i="6"/>
  <c r="B35" i="8"/>
  <c r="G36" i="8"/>
  <c r="H36" i="8" s="1"/>
  <c r="F34" i="9" s="1"/>
  <c r="F126" i="6"/>
  <c r="B10" i="10" s="1"/>
  <c r="D10" i="10" s="1"/>
  <c r="H10" i="9" s="1"/>
  <c r="EC231" i="1" l="1"/>
  <c r="D37" i="12"/>
  <c r="B34" i="8"/>
  <c r="G35" i="8"/>
  <c r="H35" i="8" s="1"/>
  <c r="F33" i="9" s="1"/>
  <c r="Y53" i="6"/>
  <c r="F131" i="6"/>
  <c r="F164" i="6"/>
  <c r="F44" i="6" s="1"/>
  <c r="F160" i="6"/>
  <c r="F40" i="6" s="1"/>
  <c r="F142" i="6"/>
  <c r="F22" i="6" s="1"/>
  <c r="F133" i="6"/>
  <c r="F143" i="6"/>
  <c r="F23" i="6" s="1"/>
  <c r="F140" i="6"/>
  <c r="F20" i="6" s="1"/>
  <c r="F162" i="6"/>
  <c r="F42" i="6" s="1"/>
  <c r="F153" i="6"/>
  <c r="F33" i="6" s="1"/>
  <c r="F138" i="6"/>
  <c r="F18" i="6" s="1"/>
  <c r="F135" i="6"/>
  <c r="F15" i="6" s="1"/>
  <c r="F157" i="6"/>
  <c r="F37" i="6" s="1"/>
  <c r="F156" i="6"/>
  <c r="F36" i="6" s="1"/>
  <c r="F149" i="6"/>
  <c r="F29" i="6" s="1"/>
  <c r="F161" i="6"/>
  <c r="F41" i="6" s="1"/>
  <c r="F136" i="6"/>
  <c r="F16" i="6" s="1"/>
  <c r="F159" i="6"/>
  <c r="F39" i="6" s="1"/>
  <c r="F155" i="6"/>
  <c r="F35" i="6" s="1"/>
  <c r="F148" i="6"/>
  <c r="F28" i="6" s="1"/>
  <c r="F145" i="6"/>
  <c r="F25" i="6" s="1"/>
  <c r="F163" i="6"/>
  <c r="F43" i="6" s="1"/>
  <c r="F139" i="6"/>
  <c r="F19" i="6" s="1"/>
  <c r="F150" i="6"/>
  <c r="F30" i="6" s="1"/>
  <c r="F151" i="6"/>
  <c r="F31" i="6" s="1"/>
  <c r="F166" i="6"/>
  <c r="F46" i="6" s="1"/>
  <c r="F132" i="6"/>
  <c r="F144" i="6"/>
  <c r="F24" i="6" s="1"/>
  <c r="F152" i="6"/>
  <c r="F32" i="6" s="1"/>
  <c r="F147" i="6"/>
  <c r="F27" i="6" s="1"/>
  <c r="F137" i="6"/>
  <c r="F17" i="6" s="1"/>
  <c r="F165" i="6"/>
  <c r="F45" i="6" s="1"/>
  <c r="F134" i="6"/>
  <c r="F14" i="6" s="1"/>
  <c r="F158" i="6"/>
  <c r="F38" i="6" s="1"/>
  <c r="F146" i="6"/>
  <c r="F26" i="6" s="1"/>
  <c r="F141" i="6"/>
  <c r="F21" i="6" s="1"/>
  <c r="F167" i="6"/>
  <c r="F47" i="6" s="1"/>
  <c r="F172" i="6"/>
  <c r="G57" i="6" l="1"/>
  <c r="C13" i="8"/>
  <c r="EC232" i="1"/>
  <c r="D38" i="12"/>
  <c r="F154" i="6"/>
  <c r="F34" i="6" s="1"/>
  <c r="F49" i="6" s="1"/>
  <c r="B33" i="8"/>
  <c r="Z53" i="6"/>
  <c r="G58" i="6"/>
  <c r="G34" i="8"/>
  <c r="H34" i="8" s="1"/>
  <c r="F32" i="9" s="1"/>
  <c r="EC233" i="1" l="1"/>
  <c r="D39" i="12"/>
  <c r="C10" i="11"/>
  <c r="D10" i="11" s="1"/>
  <c r="B11" i="11"/>
  <c r="F169" i="6"/>
  <c r="F170" i="6" s="1"/>
  <c r="AA53" i="6"/>
  <c r="F174" i="6"/>
  <c r="G60" i="6"/>
  <c r="B32" i="8"/>
  <c r="G33" i="8"/>
  <c r="H33" i="8" s="1"/>
  <c r="F31" i="9" s="1"/>
  <c r="EC234" i="1" l="1"/>
  <c r="D40" i="12"/>
  <c r="C15" i="12"/>
  <c r="F12" i="11"/>
  <c r="G10" i="11"/>
  <c r="I10" i="9" s="1"/>
  <c r="M10" i="9"/>
  <c r="P10" i="9" s="1"/>
  <c r="G32" i="8"/>
  <c r="H32" i="8" s="1"/>
  <c r="F30" i="9" s="1"/>
  <c r="AB53" i="6"/>
  <c r="G111" i="6"/>
  <c r="B31" i="8"/>
  <c r="EC235" i="1" l="1"/>
  <c r="D41" i="12"/>
  <c r="G121" i="6"/>
  <c r="G123" i="6"/>
  <c r="G120" i="6"/>
  <c r="G118" i="6"/>
  <c r="G119" i="6"/>
  <c r="G122" i="6"/>
  <c r="AC53" i="6"/>
  <c r="B30" i="8"/>
  <c r="G31" i="8"/>
  <c r="H31" i="8" s="1"/>
  <c r="F29" i="9" s="1"/>
  <c r="EC236" i="1" l="1"/>
  <c r="D42" i="12"/>
  <c r="B29" i="8"/>
  <c r="G126" i="6"/>
  <c r="B11" i="10" s="1"/>
  <c r="D11" i="10" s="1"/>
  <c r="H11" i="9" s="1"/>
  <c r="G30" i="8"/>
  <c r="H30" i="8" s="1"/>
  <c r="F28" i="9" s="1"/>
  <c r="AD53" i="6"/>
  <c r="EC237" i="1" l="1"/>
  <c r="D43" i="12"/>
  <c r="AE53" i="6"/>
  <c r="G148" i="6"/>
  <c r="G28" i="6" s="1"/>
  <c r="G159" i="6"/>
  <c r="G39" i="6" s="1"/>
  <c r="G167" i="6"/>
  <c r="G47" i="6" s="1"/>
  <c r="G146" i="6"/>
  <c r="G26" i="6" s="1"/>
  <c r="G151" i="6"/>
  <c r="G31" i="6" s="1"/>
  <c r="G133" i="6"/>
  <c r="G161" i="6"/>
  <c r="G41" i="6" s="1"/>
  <c r="G139" i="6"/>
  <c r="G19" i="6" s="1"/>
  <c r="G132" i="6"/>
  <c r="G137" i="6"/>
  <c r="G17" i="6" s="1"/>
  <c r="G164" i="6"/>
  <c r="G44" i="6" s="1"/>
  <c r="G140" i="6"/>
  <c r="G20" i="6" s="1"/>
  <c r="G165" i="6"/>
  <c r="G45" i="6" s="1"/>
  <c r="G162" i="6"/>
  <c r="G42" i="6" s="1"/>
  <c r="G136" i="6"/>
  <c r="G16" i="6" s="1"/>
  <c r="G144" i="6"/>
  <c r="G24" i="6" s="1"/>
  <c r="G142" i="6"/>
  <c r="G22" i="6" s="1"/>
  <c r="G153" i="6"/>
  <c r="G33" i="6" s="1"/>
  <c r="G166" i="6"/>
  <c r="G46" i="6" s="1"/>
  <c r="G138" i="6"/>
  <c r="G18" i="6" s="1"/>
  <c r="G160" i="6"/>
  <c r="G40" i="6" s="1"/>
  <c r="G158" i="6"/>
  <c r="G38" i="6" s="1"/>
  <c r="G147" i="6"/>
  <c r="G27" i="6" s="1"/>
  <c r="G156" i="6"/>
  <c r="G36" i="6" s="1"/>
  <c r="G154" i="6"/>
  <c r="G34" i="6" s="1"/>
  <c r="G131" i="6"/>
  <c r="G135" i="6"/>
  <c r="G15" i="6" s="1"/>
  <c r="G157" i="6"/>
  <c r="G37" i="6" s="1"/>
  <c r="G152" i="6"/>
  <c r="G32" i="6" s="1"/>
  <c r="G163" i="6"/>
  <c r="G43" i="6" s="1"/>
  <c r="G143" i="6"/>
  <c r="G23" i="6" s="1"/>
  <c r="G134" i="6"/>
  <c r="G149" i="6"/>
  <c r="G29" i="6" s="1"/>
  <c r="G145" i="6"/>
  <c r="G25" i="6" s="1"/>
  <c r="G150" i="6"/>
  <c r="G30" i="6" s="1"/>
  <c r="G141" i="6"/>
  <c r="G21" i="6" s="1"/>
  <c r="G172" i="6"/>
  <c r="B28" i="8"/>
  <c r="G29" i="8"/>
  <c r="H29" i="8" s="1"/>
  <c r="F27" i="9" s="1"/>
  <c r="H57" i="6" l="1"/>
  <c r="C14" i="8"/>
  <c r="G155" i="6"/>
  <c r="G35" i="6" s="1"/>
  <c r="G49" i="6" s="1"/>
  <c r="EC238" i="1"/>
  <c r="D45" i="12" s="1"/>
  <c r="D44" i="12"/>
  <c r="H58" i="6"/>
  <c r="B27" i="8"/>
  <c r="G28" i="8"/>
  <c r="H28" i="8" s="1"/>
  <c r="F26" i="9" s="1"/>
  <c r="AF53" i="6"/>
  <c r="H60" i="6" l="1"/>
  <c r="H111" i="6" s="1"/>
  <c r="G169" i="6"/>
  <c r="G170" i="6" s="1"/>
  <c r="EC239" i="1"/>
  <c r="D46" i="12" s="1"/>
  <c r="C16" i="12"/>
  <c r="F13" i="11"/>
  <c r="B12" i="11"/>
  <c r="C11" i="11"/>
  <c r="D11" i="11" s="1"/>
  <c r="B26" i="8"/>
  <c r="G27" i="8"/>
  <c r="H27" i="8" s="1"/>
  <c r="F25" i="9" s="1"/>
  <c r="AG53" i="6"/>
  <c r="G174" i="6"/>
  <c r="EC240" i="1" l="1"/>
  <c r="G11" i="11"/>
  <c r="I11" i="9" s="1"/>
  <c r="M11" i="9"/>
  <c r="P11" i="9" s="1"/>
  <c r="H122" i="6"/>
  <c r="H121" i="6"/>
  <c r="H118" i="6"/>
  <c r="H123" i="6"/>
  <c r="H119" i="6"/>
  <c r="H120" i="6"/>
  <c r="B25" i="8"/>
  <c r="G26" i="8"/>
  <c r="H26" i="8" s="1"/>
  <c r="F24" i="9" s="1"/>
  <c r="AH53" i="6"/>
  <c r="EC241" i="1" l="1"/>
  <c r="D48" i="12" s="1"/>
  <c r="D47" i="12"/>
  <c r="AI53" i="6"/>
  <c r="B24" i="8"/>
  <c r="G25" i="8"/>
  <c r="H25" i="8" s="1"/>
  <c r="F23" i="9" s="1"/>
  <c r="H126" i="6"/>
  <c r="B12" i="10" s="1"/>
  <c r="D12" i="10" s="1"/>
  <c r="H12" i="9" s="1"/>
  <c r="EC242" i="1" l="1"/>
  <c r="G24" i="8"/>
  <c r="H24" i="8" s="1"/>
  <c r="F22" i="9" s="1"/>
  <c r="B23" i="8"/>
  <c r="AJ53" i="6"/>
  <c r="H148" i="6"/>
  <c r="H28" i="6" s="1"/>
  <c r="H136" i="6"/>
  <c r="H16" i="6" s="1"/>
  <c r="H131" i="6"/>
  <c r="H138" i="6"/>
  <c r="H18" i="6" s="1"/>
  <c r="H144" i="6"/>
  <c r="H24" i="6" s="1"/>
  <c r="H157" i="6"/>
  <c r="H37" i="6" s="1"/>
  <c r="H153" i="6"/>
  <c r="H33" i="6" s="1"/>
  <c r="H154" i="6"/>
  <c r="H34" i="6" s="1"/>
  <c r="H133" i="6"/>
  <c r="H145" i="6"/>
  <c r="H25" i="6" s="1"/>
  <c r="H141" i="6"/>
  <c r="H21" i="6" s="1"/>
  <c r="H143" i="6"/>
  <c r="H23" i="6" s="1"/>
  <c r="H146" i="6"/>
  <c r="H26" i="6" s="1"/>
  <c r="H165" i="6"/>
  <c r="H45" i="6" s="1"/>
  <c r="H161" i="6"/>
  <c r="H41" i="6" s="1"/>
  <c r="H147" i="6"/>
  <c r="H27" i="6" s="1"/>
  <c r="H162" i="6"/>
  <c r="H42" i="6" s="1"/>
  <c r="H149" i="6"/>
  <c r="H29" i="6" s="1"/>
  <c r="H152" i="6"/>
  <c r="H32" i="6" s="1"/>
  <c r="H158" i="6"/>
  <c r="H38" i="6" s="1"/>
  <c r="H139" i="6"/>
  <c r="H19" i="6" s="1"/>
  <c r="H140" i="6"/>
  <c r="H20" i="6" s="1"/>
  <c r="H132" i="6"/>
  <c r="H159" i="6"/>
  <c r="H39" i="6" s="1"/>
  <c r="H167" i="6"/>
  <c r="H47" i="6" s="1"/>
  <c r="H166" i="6"/>
  <c r="H46" i="6" s="1"/>
  <c r="H163" i="6"/>
  <c r="H43" i="6" s="1"/>
  <c r="H137" i="6"/>
  <c r="H17" i="6" s="1"/>
  <c r="H151" i="6"/>
  <c r="H31" i="6" s="1"/>
  <c r="H155" i="6"/>
  <c r="H35" i="6" s="1"/>
  <c r="H160" i="6"/>
  <c r="H40" i="6" s="1"/>
  <c r="H150" i="6"/>
  <c r="H30" i="6" s="1"/>
  <c r="H164" i="6"/>
  <c r="H44" i="6" s="1"/>
  <c r="H142" i="6"/>
  <c r="H22" i="6" s="1"/>
  <c r="H134" i="6"/>
  <c r="H135" i="6"/>
  <c r="H172" i="6"/>
  <c r="I57" i="6" l="1"/>
  <c r="C15" i="8"/>
  <c r="H156" i="6"/>
  <c r="H36" i="6" s="1"/>
  <c r="H49" i="6" s="1"/>
  <c r="AK53" i="6"/>
  <c r="I58" i="6"/>
  <c r="B22" i="8"/>
  <c r="G23" i="8"/>
  <c r="H23" i="8" s="1"/>
  <c r="F21" i="9" s="1"/>
  <c r="H169" i="6" l="1"/>
  <c r="H170" i="6" s="1"/>
  <c r="B13" i="11"/>
  <c r="C12" i="11"/>
  <c r="D12" i="11" s="1"/>
  <c r="AL53" i="6"/>
  <c r="H174" i="6"/>
  <c r="B21" i="8"/>
  <c r="G22" i="8"/>
  <c r="H22" i="8" s="1"/>
  <c r="F20" i="9" s="1"/>
  <c r="I60" i="6"/>
  <c r="C17" i="12" l="1"/>
  <c r="F14" i="11"/>
  <c r="G12" i="11"/>
  <c r="I12" i="9" s="1"/>
  <c r="M12" i="9"/>
  <c r="P12" i="9" s="1"/>
  <c r="AM53" i="6"/>
  <c r="B20" i="8"/>
  <c r="G21" i="8"/>
  <c r="H21" i="8" s="1"/>
  <c r="F19" i="9" s="1"/>
  <c r="I111" i="6"/>
  <c r="B19" i="8" l="1"/>
  <c r="G20" i="8"/>
  <c r="H20" i="8" s="1"/>
  <c r="F18" i="9" s="1"/>
  <c r="I119" i="6"/>
  <c r="I123" i="6"/>
  <c r="I118" i="6"/>
  <c r="I121" i="6"/>
  <c r="I122" i="6"/>
  <c r="I120" i="6"/>
  <c r="I126" i="6" l="1"/>
  <c r="B18" i="8"/>
  <c r="G19" i="8"/>
  <c r="H19" i="8" s="1"/>
  <c r="F17" i="9" s="1"/>
  <c r="B13" i="10" l="1"/>
  <c r="D13" i="10" s="1"/>
  <c r="H13" i="9" s="1"/>
  <c r="I151" i="6"/>
  <c r="I31" i="6" s="1"/>
  <c r="I160" i="6"/>
  <c r="I40" i="6" s="1"/>
  <c r="I155" i="6"/>
  <c r="I35" i="6" s="1"/>
  <c r="I162" i="6"/>
  <c r="I42" i="6" s="1"/>
  <c r="I172" i="6"/>
  <c r="I150" i="6"/>
  <c r="I30" i="6" s="1"/>
  <c r="I161" i="6"/>
  <c r="I41" i="6" s="1"/>
  <c r="I143" i="6"/>
  <c r="I23" i="6" s="1"/>
  <c r="I135" i="6"/>
  <c r="I132" i="6"/>
  <c r="I133" i="6"/>
  <c r="I142" i="6"/>
  <c r="I22" i="6" s="1"/>
  <c r="I148" i="6"/>
  <c r="I28" i="6" s="1"/>
  <c r="I152" i="6"/>
  <c r="I32" i="6" s="1"/>
  <c r="I139" i="6"/>
  <c r="I19" i="6" s="1"/>
  <c r="I165" i="6"/>
  <c r="I45" i="6" s="1"/>
  <c r="I144" i="6"/>
  <c r="I24" i="6" s="1"/>
  <c r="I140" i="6"/>
  <c r="I20" i="6" s="1"/>
  <c r="I147" i="6"/>
  <c r="I27" i="6" s="1"/>
  <c r="I137" i="6"/>
  <c r="I17" i="6" s="1"/>
  <c r="I163" i="6"/>
  <c r="I43" i="6" s="1"/>
  <c r="I153" i="6"/>
  <c r="I33" i="6" s="1"/>
  <c r="I138" i="6"/>
  <c r="I18" i="6" s="1"/>
  <c r="I166" i="6"/>
  <c r="I46" i="6" s="1"/>
  <c r="I136" i="6"/>
  <c r="I145" i="6"/>
  <c r="I25" i="6" s="1"/>
  <c r="I159" i="6"/>
  <c r="I39" i="6" s="1"/>
  <c r="I146" i="6"/>
  <c r="I26" i="6" s="1"/>
  <c r="I134" i="6"/>
  <c r="I154" i="6"/>
  <c r="I34" i="6" s="1"/>
  <c r="I141" i="6"/>
  <c r="I21" i="6" s="1"/>
  <c r="I164" i="6"/>
  <c r="I44" i="6" s="1"/>
  <c r="I131" i="6"/>
  <c r="I149" i="6" s="1"/>
  <c r="I29" i="6" s="1"/>
  <c r="I156" i="6"/>
  <c r="I36" i="6" s="1"/>
  <c r="I158" i="6"/>
  <c r="I38" i="6" s="1"/>
  <c r="I167" i="6"/>
  <c r="I47" i="6" s="1"/>
  <c r="B17" i="8"/>
  <c r="G18" i="8"/>
  <c r="H18" i="8" s="1"/>
  <c r="F16" i="9" s="1"/>
  <c r="J57" i="6" l="1"/>
  <c r="C16" i="8"/>
  <c r="J58" i="6"/>
  <c r="J60" i="6" s="1"/>
  <c r="F15" i="11" s="1"/>
  <c r="I157" i="6"/>
  <c r="I37" i="6" s="1"/>
  <c r="I49" i="6" s="1"/>
  <c r="B16" i="8"/>
  <c r="G17" i="8"/>
  <c r="H17" i="8" s="1"/>
  <c r="F15" i="9" s="1"/>
  <c r="C13" i="11" l="1"/>
  <c r="D13" i="11" s="1"/>
  <c r="B14" i="11"/>
  <c r="C18" i="12"/>
  <c r="J111" i="6"/>
  <c r="J118" i="6" s="1"/>
  <c r="I169" i="6"/>
  <c r="I170" i="6" s="1"/>
  <c r="I174" i="6"/>
  <c r="B15" i="8"/>
  <c r="G15" i="8" s="1"/>
  <c r="G16" i="8"/>
  <c r="H16" i="8" s="1"/>
  <c r="F14" i="9" s="1"/>
  <c r="M13" i="9" l="1"/>
  <c r="P13" i="9" s="1"/>
  <c r="G13" i="11"/>
  <c r="J121" i="6"/>
  <c r="J123" i="6"/>
  <c r="J120" i="6"/>
  <c r="J119" i="6"/>
  <c r="J122" i="6"/>
  <c r="B14" i="8"/>
  <c r="D14" i="8" s="1"/>
  <c r="E12" i="9" s="1"/>
  <c r="G12" i="9" s="1"/>
  <c r="J12" i="9" s="1"/>
  <c r="H15" i="8"/>
  <c r="D15" i="8"/>
  <c r="E13" i="9" s="1"/>
  <c r="R12" i="9" l="1"/>
  <c r="B16" i="12"/>
  <c r="I13" i="9"/>
  <c r="J126" i="6"/>
  <c r="J153" i="6" s="1"/>
  <c r="J33" i="6" s="1"/>
  <c r="B13" i="8"/>
  <c r="D13" i="8" s="1"/>
  <c r="E11" i="9" s="1"/>
  <c r="G11" i="9" s="1"/>
  <c r="J11" i="9" s="1"/>
  <c r="H49" i="8"/>
  <c r="F13" i="9"/>
  <c r="F47" i="9" s="1"/>
  <c r="R11" i="9" l="1"/>
  <c r="B15" i="12"/>
  <c r="E16" i="12"/>
  <c r="K16" i="12" s="1"/>
  <c r="L16" i="12" s="1"/>
  <c r="J133" i="6"/>
  <c r="J154" i="6"/>
  <c r="J34" i="6" s="1"/>
  <c r="J163" i="6"/>
  <c r="J43" i="6" s="1"/>
  <c r="J161" i="6"/>
  <c r="J41" i="6" s="1"/>
  <c r="J131" i="6"/>
  <c r="J159" i="6"/>
  <c r="J39" i="6" s="1"/>
  <c r="J134" i="6"/>
  <c r="J146" i="6"/>
  <c r="J26" i="6" s="1"/>
  <c r="J139" i="6"/>
  <c r="J19" i="6" s="1"/>
  <c r="J156" i="6"/>
  <c r="J36" i="6" s="1"/>
  <c r="J157" i="6"/>
  <c r="J37" i="6" s="1"/>
  <c r="J165" i="6"/>
  <c r="J45" i="6" s="1"/>
  <c r="J160" i="6"/>
  <c r="J40" i="6" s="1"/>
  <c r="J149" i="6"/>
  <c r="J29" i="6" s="1"/>
  <c r="J145" i="6"/>
  <c r="J25" i="6" s="1"/>
  <c r="J143" i="6"/>
  <c r="J23" i="6" s="1"/>
  <c r="J162" i="6"/>
  <c r="J42" i="6" s="1"/>
  <c r="J155" i="6"/>
  <c r="J35" i="6" s="1"/>
  <c r="J167" i="6"/>
  <c r="J47" i="6" s="1"/>
  <c r="B14" i="10"/>
  <c r="D14" i="10" s="1"/>
  <c r="H14" i="9" s="1"/>
  <c r="J142" i="6"/>
  <c r="J22" i="6" s="1"/>
  <c r="J147" i="6"/>
  <c r="J27" i="6" s="1"/>
  <c r="J135" i="6"/>
  <c r="J137" i="6"/>
  <c r="J140" i="6"/>
  <c r="J20" i="6" s="1"/>
  <c r="J148" i="6"/>
  <c r="J28" i="6" s="1"/>
  <c r="J166" i="6"/>
  <c r="J46" i="6" s="1"/>
  <c r="J138" i="6"/>
  <c r="J18" i="6" s="1"/>
  <c r="J141" i="6"/>
  <c r="J21" i="6" s="1"/>
  <c r="J136" i="6"/>
  <c r="J132" i="6"/>
  <c r="J172" i="6"/>
  <c r="J144" i="6"/>
  <c r="J24" i="6" s="1"/>
  <c r="J152" i="6"/>
  <c r="J32" i="6" s="1"/>
  <c r="J150" i="6"/>
  <c r="J30" i="6" s="1"/>
  <c r="J151" i="6"/>
  <c r="J31" i="6" s="1"/>
  <c r="J164" i="6"/>
  <c r="J44" i="6" s="1"/>
  <c r="B12" i="8"/>
  <c r="D12" i="8" s="1"/>
  <c r="E10" i="9" s="1"/>
  <c r="G10" i="9" s="1"/>
  <c r="J10" i="9" s="1"/>
  <c r="G13" i="9"/>
  <c r="J13" i="9" s="1"/>
  <c r="K57" i="6" l="1"/>
  <c r="C17" i="8"/>
  <c r="R13" i="9"/>
  <c r="B17" i="12"/>
  <c r="R10" i="9"/>
  <c r="B14" i="12"/>
  <c r="E15" i="12"/>
  <c r="K15" i="12" s="1"/>
  <c r="L15" i="12" s="1"/>
  <c r="D16" i="8"/>
  <c r="E14" i="9" s="1"/>
  <c r="G14" i="9" s="1"/>
  <c r="K58" i="6"/>
  <c r="J158" i="6"/>
  <c r="J38" i="6" s="1"/>
  <c r="J49" i="6" s="1"/>
  <c r="J174" i="6" s="1"/>
  <c r="B11" i="8"/>
  <c r="D11" i="8" s="1"/>
  <c r="E9" i="9" s="1"/>
  <c r="G9" i="9" s="1"/>
  <c r="J9" i="9" s="1"/>
  <c r="K60" i="6" l="1"/>
  <c r="F16" i="11" s="1"/>
  <c r="E14" i="12"/>
  <c r="K14" i="12" s="1"/>
  <c r="L14" i="12" s="1"/>
  <c r="R9" i="9"/>
  <c r="B13" i="12"/>
  <c r="E17" i="12"/>
  <c r="K17" i="12" s="1"/>
  <c r="L17" i="12" s="1"/>
  <c r="C19" i="12"/>
  <c r="B15" i="11"/>
  <c r="C14" i="11"/>
  <c r="D14" i="11" s="1"/>
  <c r="J169" i="6"/>
  <c r="J170" i="6" s="1"/>
  <c r="B10" i="8"/>
  <c r="D10" i="8" s="1"/>
  <c r="E8" i="9" s="1"/>
  <c r="G8" i="9" s="1"/>
  <c r="J8" i="9" s="1"/>
  <c r="K111" i="6" l="1"/>
  <c r="K118" i="6" s="1"/>
  <c r="E13" i="12"/>
  <c r="K13" i="12" s="1"/>
  <c r="L13" i="12" s="1"/>
  <c r="R8" i="9"/>
  <c r="B12" i="12"/>
  <c r="G14" i="11"/>
  <c r="I14" i="9" s="1"/>
  <c r="J14" i="9" s="1"/>
  <c r="M14" i="9"/>
  <c r="P14" i="9" s="1"/>
  <c r="K120" i="6" l="1"/>
  <c r="K123" i="6"/>
  <c r="K119" i="6"/>
  <c r="K122" i="6"/>
  <c r="K121" i="6"/>
  <c r="B18" i="12"/>
  <c r="E12" i="12"/>
  <c r="K12" i="12" s="1"/>
  <c r="L12" i="12" s="1"/>
  <c r="R14" i="9"/>
  <c r="K126" i="6" l="1"/>
  <c r="B15" i="10" s="1"/>
  <c r="D15" i="10" s="1"/>
  <c r="H15" i="9" s="1"/>
  <c r="E18" i="12"/>
  <c r="K18" i="12" s="1"/>
  <c r="L18" i="12" s="1"/>
  <c r="K155" i="6"/>
  <c r="K35" i="6" s="1"/>
  <c r="K143" i="6"/>
  <c r="K23" i="6" s="1"/>
  <c r="K138" i="6"/>
  <c r="K165" i="6"/>
  <c r="K45" i="6" s="1"/>
  <c r="K146" i="6" l="1"/>
  <c r="K26" i="6" s="1"/>
  <c r="K140" i="6"/>
  <c r="K20" i="6" s="1"/>
  <c r="L58" i="6" s="1"/>
  <c r="K147" i="6"/>
  <c r="K27" i="6" s="1"/>
  <c r="K142" i="6"/>
  <c r="K22" i="6" s="1"/>
  <c r="K144" i="6"/>
  <c r="K24" i="6" s="1"/>
  <c r="K135" i="6"/>
  <c r="K154" i="6"/>
  <c r="K34" i="6" s="1"/>
  <c r="K151" i="6"/>
  <c r="K31" i="6" s="1"/>
  <c r="K160" i="6"/>
  <c r="K40" i="6" s="1"/>
  <c r="K136" i="6"/>
  <c r="K162" i="6"/>
  <c r="K42" i="6" s="1"/>
  <c r="K132" i="6"/>
  <c r="K158" i="6"/>
  <c r="K38" i="6" s="1"/>
  <c r="K141" i="6"/>
  <c r="K21" i="6" s="1"/>
  <c r="K166" i="6"/>
  <c r="K46" i="6" s="1"/>
  <c r="K153" i="6"/>
  <c r="K33" i="6" s="1"/>
  <c r="K139" i="6"/>
  <c r="K19" i="6" s="1"/>
  <c r="K131" i="6"/>
  <c r="K134" i="6"/>
  <c r="K149" i="6"/>
  <c r="K29" i="6" s="1"/>
  <c r="K150" i="6"/>
  <c r="K30" i="6" s="1"/>
  <c r="K137" i="6"/>
  <c r="K167" i="6"/>
  <c r="K47" i="6" s="1"/>
  <c r="K172" i="6"/>
  <c r="L57" i="6" s="1"/>
  <c r="L60" i="6" s="1"/>
  <c r="K164" i="6"/>
  <c r="K44" i="6" s="1"/>
  <c r="K133" i="6"/>
  <c r="K152" i="6"/>
  <c r="K32" i="6" s="1"/>
  <c r="K157" i="6"/>
  <c r="K37" i="6" s="1"/>
  <c r="K148" i="6"/>
  <c r="K28" i="6" s="1"/>
  <c r="K156" i="6"/>
  <c r="K36" i="6" s="1"/>
  <c r="K145" i="6"/>
  <c r="K25" i="6" s="1"/>
  <c r="K161" i="6"/>
  <c r="K41" i="6" s="1"/>
  <c r="K163" i="6"/>
  <c r="K43" i="6" s="1"/>
  <c r="C18" i="8"/>
  <c r="D17" i="8"/>
  <c r="E15" i="9" s="1"/>
  <c r="G15" i="9" s="1"/>
  <c r="K159" i="6"/>
  <c r="K39" i="6" s="1"/>
  <c r="K49" i="6" l="1"/>
  <c r="K174" i="6" s="1"/>
  <c r="C20" i="12"/>
  <c r="F17" i="11"/>
  <c r="K169" i="6"/>
  <c r="K170" i="6" s="1"/>
  <c r="B16" i="11"/>
  <c r="C15" i="11"/>
  <c r="D15" i="11" s="1"/>
  <c r="L111" i="6"/>
  <c r="G15" i="11" l="1"/>
  <c r="I15" i="9" s="1"/>
  <c r="J15" i="9" s="1"/>
  <c r="M15" i="9"/>
  <c r="P15" i="9" s="1"/>
  <c r="L120" i="6"/>
  <c r="L121" i="6"/>
  <c r="L123" i="6"/>
  <c r="L118" i="6"/>
  <c r="L119" i="6"/>
  <c r="L122" i="6"/>
  <c r="B19" i="12" l="1"/>
  <c r="R15" i="9"/>
  <c r="L126" i="6"/>
  <c r="B16" i="10" s="1"/>
  <c r="D16" i="10" s="1"/>
  <c r="H16" i="9" s="1"/>
  <c r="E19" i="12" l="1"/>
  <c r="K19" i="12" s="1"/>
  <c r="L19" i="12" s="1"/>
  <c r="L133" i="6"/>
  <c r="L151" i="6"/>
  <c r="L31" i="6" s="1"/>
  <c r="L137" i="6"/>
  <c r="L150" i="6"/>
  <c r="L30" i="6" s="1"/>
  <c r="L152" i="6"/>
  <c r="L32" i="6" s="1"/>
  <c r="L144" i="6"/>
  <c r="L24" i="6" s="1"/>
  <c r="L161" i="6"/>
  <c r="L41" i="6" s="1"/>
  <c r="L140" i="6"/>
  <c r="L20" i="6" s="1"/>
  <c r="L163" i="6"/>
  <c r="L43" i="6" s="1"/>
  <c r="L135" i="6"/>
  <c r="L157" i="6"/>
  <c r="L37" i="6" s="1"/>
  <c r="L145" i="6"/>
  <c r="L25" i="6" s="1"/>
  <c r="L164" i="6"/>
  <c r="L44" i="6" s="1"/>
  <c r="L138" i="6"/>
  <c r="L132" i="6"/>
  <c r="L149" i="6"/>
  <c r="L29" i="6" s="1"/>
  <c r="L167" i="6"/>
  <c r="L47" i="6" s="1"/>
  <c r="L153" i="6"/>
  <c r="L33" i="6" s="1"/>
  <c r="L143" i="6"/>
  <c r="L23" i="6" s="1"/>
  <c r="L148" i="6"/>
  <c r="L28" i="6" s="1"/>
  <c r="L141" i="6"/>
  <c r="L21" i="6" s="1"/>
  <c r="L136" i="6"/>
  <c r="L166" i="6"/>
  <c r="L46" i="6" s="1"/>
  <c r="L158" i="6"/>
  <c r="L38" i="6" s="1"/>
  <c r="L159" i="6"/>
  <c r="L39" i="6" s="1"/>
  <c r="L162" i="6"/>
  <c r="L42" i="6" s="1"/>
  <c r="L142" i="6"/>
  <c r="L22" i="6" s="1"/>
  <c r="L155" i="6"/>
  <c r="L35" i="6" s="1"/>
  <c r="L139" i="6"/>
  <c r="L165" i="6"/>
  <c r="L45" i="6" s="1"/>
  <c r="L154" i="6"/>
  <c r="L34" i="6" s="1"/>
  <c r="L131" i="6"/>
  <c r="L156" i="6"/>
  <c r="L36" i="6" s="1"/>
  <c r="L147" i="6"/>
  <c r="L27" i="6" s="1"/>
  <c r="L146" i="6"/>
  <c r="L26" i="6" s="1"/>
  <c r="L134" i="6"/>
  <c r="L172" i="6"/>
  <c r="L160" i="6" l="1"/>
  <c r="L40" i="6" s="1"/>
  <c r="L49" i="6" s="1"/>
  <c r="M57" i="6"/>
  <c r="C19" i="8"/>
  <c r="D18" i="8"/>
  <c r="E16" i="9" s="1"/>
  <c r="G16" i="9" s="1"/>
  <c r="M58" i="6"/>
  <c r="L169" i="6" l="1"/>
  <c r="L170" i="6" s="1"/>
  <c r="M60" i="6"/>
  <c r="M111" i="6" s="1"/>
  <c r="C21" i="12"/>
  <c r="F18" i="11"/>
  <c r="B17" i="11"/>
  <c r="C16" i="11"/>
  <c r="D16" i="11" s="1"/>
  <c r="L174" i="6"/>
  <c r="G16" i="11" l="1"/>
  <c r="I16" i="9" s="1"/>
  <c r="J16" i="9" s="1"/>
  <c r="M16" i="9"/>
  <c r="P16" i="9" s="1"/>
  <c r="M121" i="6"/>
  <c r="M122" i="6"/>
  <c r="M123" i="6"/>
  <c r="M118" i="6"/>
  <c r="M120" i="6"/>
  <c r="M119" i="6"/>
  <c r="B20" i="12" l="1"/>
  <c r="R16" i="9"/>
  <c r="M126" i="6"/>
  <c r="B17" i="10" s="1"/>
  <c r="D17" i="10" s="1"/>
  <c r="H17" i="9" s="1"/>
  <c r="E20" i="12" l="1"/>
  <c r="K20" i="12" s="1"/>
  <c r="L20" i="12" s="1"/>
  <c r="M131" i="6"/>
  <c r="M154" i="6"/>
  <c r="M34" i="6" s="1"/>
  <c r="M145" i="6"/>
  <c r="M25" i="6" s="1"/>
  <c r="M165" i="6"/>
  <c r="M45" i="6" s="1"/>
  <c r="M141" i="6"/>
  <c r="M21" i="6" s="1"/>
  <c r="M144" i="6"/>
  <c r="M24" i="6" s="1"/>
  <c r="M135" i="6"/>
  <c r="M162" i="6"/>
  <c r="M42" i="6" s="1"/>
  <c r="M147" i="6"/>
  <c r="M27" i="6" s="1"/>
  <c r="M136" i="6"/>
  <c r="M158" i="6"/>
  <c r="M38" i="6" s="1"/>
  <c r="M148" i="6"/>
  <c r="M28" i="6" s="1"/>
  <c r="M143" i="6"/>
  <c r="M23" i="6" s="1"/>
  <c r="M156" i="6"/>
  <c r="M36" i="6" s="1"/>
  <c r="M160" i="6"/>
  <c r="M40" i="6" s="1"/>
  <c r="M155" i="6"/>
  <c r="M35" i="6" s="1"/>
  <c r="M132" i="6"/>
  <c r="M151" i="6"/>
  <c r="M31" i="6" s="1"/>
  <c r="M159" i="6"/>
  <c r="M39" i="6" s="1"/>
  <c r="M133" i="6"/>
  <c r="M163" i="6"/>
  <c r="M43" i="6" s="1"/>
  <c r="M139" i="6"/>
  <c r="M142" i="6"/>
  <c r="M22" i="6" s="1"/>
  <c r="M152" i="6"/>
  <c r="M32" i="6" s="1"/>
  <c r="M157" i="6"/>
  <c r="M37" i="6" s="1"/>
  <c r="M140" i="6"/>
  <c r="M138" i="6"/>
  <c r="M164" i="6"/>
  <c r="M44" i="6" s="1"/>
  <c r="M150" i="6"/>
  <c r="M30" i="6" s="1"/>
  <c r="M146" i="6"/>
  <c r="M26" i="6" s="1"/>
  <c r="M149" i="6"/>
  <c r="M29" i="6" s="1"/>
  <c r="M153" i="6"/>
  <c r="M33" i="6" s="1"/>
  <c r="M167" i="6"/>
  <c r="M47" i="6" s="1"/>
  <c r="M166" i="6"/>
  <c r="M46" i="6" s="1"/>
  <c r="M134" i="6"/>
  <c r="M137" i="6"/>
  <c r="M172" i="6"/>
  <c r="N57" i="6" l="1"/>
  <c r="C20" i="8"/>
  <c r="D19" i="8"/>
  <c r="E17" i="9" s="1"/>
  <c r="G17" i="9" s="1"/>
  <c r="M161" i="6"/>
  <c r="M41" i="6" s="1"/>
  <c r="M49" i="6" s="1"/>
  <c r="N58" i="6"/>
  <c r="N60" i="6" l="1"/>
  <c r="N111" i="6" s="1"/>
  <c r="C22" i="12"/>
  <c r="F19" i="11"/>
  <c r="C17" i="11"/>
  <c r="D17" i="11" s="1"/>
  <c r="B18" i="11"/>
  <c r="M169" i="6"/>
  <c r="M170" i="6" s="1"/>
  <c r="M174" i="6"/>
  <c r="G17" i="11" l="1"/>
  <c r="I17" i="9" s="1"/>
  <c r="J17" i="9" s="1"/>
  <c r="M17" i="9"/>
  <c r="P17" i="9" s="1"/>
  <c r="N122" i="6"/>
  <c r="N121" i="6"/>
  <c r="N120" i="6"/>
  <c r="N119" i="6"/>
  <c r="N123" i="6"/>
  <c r="N118" i="6"/>
  <c r="B21" i="12" l="1"/>
  <c r="R17" i="9"/>
  <c r="N126" i="6"/>
  <c r="B18" i="10" s="1"/>
  <c r="D18" i="10" s="1"/>
  <c r="H18" i="9" s="1"/>
  <c r="E21" i="12" l="1"/>
  <c r="K21" i="12" s="1"/>
  <c r="L21" i="12" s="1"/>
  <c r="N141" i="6"/>
  <c r="N152" i="6"/>
  <c r="N32" i="6" s="1"/>
  <c r="N164" i="6"/>
  <c r="N44" i="6" s="1"/>
  <c r="N143" i="6"/>
  <c r="N23" i="6" s="1"/>
  <c r="N132" i="6"/>
  <c r="N135" i="6"/>
  <c r="N142" i="6"/>
  <c r="N22" i="6" s="1"/>
  <c r="N149" i="6"/>
  <c r="N29" i="6" s="1"/>
  <c r="N140" i="6"/>
  <c r="N160" i="6"/>
  <c r="N40" i="6" s="1"/>
  <c r="N147" i="6"/>
  <c r="N27" i="6" s="1"/>
  <c r="N163" i="6"/>
  <c r="N43" i="6" s="1"/>
  <c r="N166" i="6"/>
  <c r="N46" i="6" s="1"/>
  <c r="N139" i="6"/>
  <c r="N138" i="6"/>
  <c r="N148" i="6"/>
  <c r="N28" i="6" s="1"/>
  <c r="N151" i="6"/>
  <c r="N31" i="6" s="1"/>
  <c r="N136" i="6"/>
  <c r="N145" i="6"/>
  <c r="N25" i="6" s="1"/>
  <c r="N159" i="6"/>
  <c r="N39" i="6" s="1"/>
  <c r="N154" i="6"/>
  <c r="N34" i="6" s="1"/>
  <c r="N161" i="6"/>
  <c r="N41" i="6" s="1"/>
  <c r="N158" i="6"/>
  <c r="N38" i="6" s="1"/>
  <c r="N157" i="6"/>
  <c r="N37" i="6" s="1"/>
  <c r="N144" i="6"/>
  <c r="N24" i="6" s="1"/>
  <c r="N133" i="6"/>
  <c r="N153" i="6"/>
  <c r="N33" i="6" s="1"/>
  <c r="N165" i="6"/>
  <c r="N45" i="6" s="1"/>
  <c r="N167" i="6"/>
  <c r="N47" i="6" s="1"/>
  <c r="N150" i="6"/>
  <c r="N30" i="6" s="1"/>
  <c r="N155" i="6"/>
  <c r="N35" i="6" s="1"/>
  <c r="N156" i="6"/>
  <c r="N36" i="6" s="1"/>
  <c r="N134" i="6"/>
  <c r="N131" i="6"/>
  <c r="N146" i="6"/>
  <c r="N26" i="6" s="1"/>
  <c r="N137" i="6"/>
  <c r="N172" i="6"/>
  <c r="O57" i="6" l="1"/>
  <c r="C21" i="8"/>
  <c r="D20" i="8"/>
  <c r="E18" i="9" s="1"/>
  <c r="G18" i="9" s="1"/>
  <c r="N162" i="6"/>
  <c r="N42" i="6" s="1"/>
  <c r="O58" i="6"/>
  <c r="O60" i="6" l="1"/>
  <c r="O111" i="6" s="1"/>
  <c r="C23" i="12"/>
  <c r="F20" i="11"/>
  <c r="N169" i="6"/>
  <c r="N170" i="6" s="1"/>
  <c r="N49" i="6"/>
  <c r="C18" i="11" l="1"/>
  <c r="D18" i="11" s="1"/>
  <c r="B19" i="11"/>
  <c r="N174" i="6"/>
  <c r="O120" i="6"/>
  <c r="O119" i="6"/>
  <c r="O121" i="6"/>
  <c r="O118" i="6"/>
  <c r="O123" i="6"/>
  <c r="O122" i="6"/>
  <c r="M18" i="9" l="1"/>
  <c r="P18" i="9" s="1"/>
  <c r="G18" i="11"/>
  <c r="I18" i="9" s="1"/>
  <c r="J18" i="9" s="1"/>
  <c r="O126" i="6"/>
  <c r="B19" i="10" s="1"/>
  <c r="D19" i="10" s="1"/>
  <c r="H19" i="9" s="1"/>
  <c r="B22" i="12" l="1"/>
  <c r="R18" i="9"/>
  <c r="O131" i="6"/>
  <c r="O140" i="6"/>
  <c r="O132" i="6"/>
  <c r="O148" i="6"/>
  <c r="O28" i="6" s="1"/>
  <c r="O160" i="6"/>
  <c r="O40" i="6" s="1"/>
  <c r="O136" i="6"/>
  <c r="O137" i="6"/>
  <c r="O167" i="6"/>
  <c r="O47" i="6" s="1"/>
  <c r="O145" i="6"/>
  <c r="O25" i="6" s="1"/>
  <c r="O153" i="6"/>
  <c r="O33" i="6" s="1"/>
  <c r="O135" i="6"/>
  <c r="O142" i="6"/>
  <c r="O138" i="6"/>
  <c r="O159" i="6"/>
  <c r="O39" i="6" s="1"/>
  <c r="O133" i="6"/>
  <c r="O149" i="6" s="1"/>
  <c r="O29" i="6" s="1"/>
  <c r="O165" i="6"/>
  <c r="O45" i="6" s="1"/>
  <c r="O139" i="6"/>
  <c r="O143" i="6"/>
  <c r="O23" i="6" s="1"/>
  <c r="O161" i="6"/>
  <c r="O41" i="6" s="1"/>
  <c r="O152" i="6"/>
  <c r="O32" i="6" s="1"/>
  <c r="O134" i="6"/>
  <c r="O150" i="6"/>
  <c r="O30" i="6" s="1"/>
  <c r="O156" i="6"/>
  <c r="O36" i="6" s="1"/>
  <c r="O141" i="6"/>
  <c r="O155" i="6"/>
  <c r="O35" i="6" s="1"/>
  <c r="O166" i="6"/>
  <c r="O46" i="6" s="1"/>
  <c r="O154" i="6"/>
  <c r="O34" i="6" s="1"/>
  <c r="O146" i="6"/>
  <c r="O26" i="6" s="1"/>
  <c r="O164" i="6"/>
  <c r="O44" i="6" s="1"/>
  <c r="O158" i="6"/>
  <c r="O38" i="6" s="1"/>
  <c r="O147" i="6"/>
  <c r="O27" i="6" s="1"/>
  <c r="O151" i="6"/>
  <c r="O31" i="6" s="1"/>
  <c r="O157" i="6"/>
  <c r="O37" i="6" s="1"/>
  <c r="O144" i="6"/>
  <c r="O24" i="6" s="1"/>
  <c r="O172" i="6"/>
  <c r="O162" i="6" l="1"/>
  <c r="O42" i="6" s="1"/>
  <c r="P57" i="6"/>
  <c r="C22" i="8"/>
  <c r="E22" i="12"/>
  <c r="K22" i="12" s="1"/>
  <c r="L22" i="12" s="1"/>
  <c r="D21" i="8"/>
  <c r="E19" i="9" s="1"/>
  <c r="G19" i="9" s="1"/>
  <c r="P58" i="6"/>
  <c r="O163" i="6" l="1"/>
  <c r="O43" i="6" s="1"/>
  <c r="O49" i="6" s="1"/>
  <c r="O174" i="6" s="1"/>
  <c r="P60" i="6"/>
  <c r="P111" i="6" s="1"/>
  <c r="C24" i="12"/>
  <c r="F21" i="11"/>
  <c r="C19" i="11"/>
  <c r="D19" i="11" s="1"/>
  <c r="B20" i="11"/>
  <c r="O169" i="6"/>
  <c r="O170" i="6" s="1"/>
  <c r="G19" i="11" l="1"/>
  <c r="I19" i="9" s="1"/>
  <c r="J19" i="9" s="1"/>
  <c r="M19" i="9"/>
  <c r="P19" i="9" s="1"/>
  <c r="P119" i="6"/>
  <c r="P118" i="6"/>
  <c r="P120" i="6"/>
  <c r="P121" i="6"/>
  <c r="P123" i="6"/>
  <c r="P122" i="6"/>
  <c r="B23" i="12" l="1"/>
  <c r="R19" i="9"/>
  <c r="P126" i="6"/>
  <c r="B20" i="10" s="1"/>
  <c r="D20" i="10" s="1"/>
  <c r="H20" i="9" s="1"/>
  <c r="E23" i="12" l="1"/>
  <c r="K23" i="12" s="1"/>
  <c r="L23" i="12" s="1"/>
  <c r="P144" i="6"/>
  <c r="P24" i="6" s="1"/>
  <c r="P150" i="6"/>
  <c r="P30" i="6" s="1"/>
  <c r="P132" i="6"/>
  <c r="P153" i="6"/>
  <c r="P33" i="6" s="1"/>
  <c r="P157" i="6"/>
  <c r="P37" i="6" s="1"/>
  <c r="P154" i="6"/>
  <c r="P34" i="6" s="1"/>
  <c r="P139" i="6"/>
  <c r="P166" i="6"/>
  <c r="P46" i="6" s="1"/>
  <c r="P133" i="6"/>
  <c r="P149" i="6"/>
  <c r="P29" i="6" s="1"/>
  <c r="P162" i="6"/>
  <c r="P42" i="6" s="1"/>
  <c r="P141" i="6"/>
  <c r="P143" i="6"/>
  <c r="P135" i="6"/>
  <c r="P167" i="6"/>
  <c r="P47" i="6" s="1"/>
  <c r="P137" i="6"/>
  <c r="P165" i="6"/>
  <c r="P45" i="6" s="1"/>
  <c r="P142" i="6"/>
  <c r="P163" i="6"/>
  <c r="P43" i="6" s="1"/>
  <c r="P158" i="6"/>
  <c r="P38" i="6" s="1"/>
  <c r="P155" i="6"/>
  <c r="P35" i="6" s="1"/>
  <c r="P146" i="6"/>
  <c r="P26" i="6" s="1"/>
  <c r="P138" i="6"/>
  <c r="P161" i="6"/>
  <c r="P41" i="6" s="1"/>
  <c r="P145" i="6"/>
  <c r="P25" i="6" s="1"/>
  <c r="P159" i="6"/>
  <c r="P39" i="6" s="1"/>
  <c r="P147" i="6"/>
  <c r="P27" i="6" s="1"/>
  <c r="P151" i="6"/>
  <c r="P31" i="6" s="1"/>
  <c r="P136" i="6"/>
  <c r="P160" i="6"/>
  <c r="P40" i="6" s="1"/>
  <c r="P156" i="6"/>
  <c r="P36" i="6" s="1"/>
  <c r="P131" i="6"/>
  <c r="P140" i="6"/>
  <c r="P148" i="6"/>
  <c r="P28" i="6" s="1"/>
  <c r="P134" i="6"/>
  <c r="P152" i="6"/>
  <c r="P32" i="6" s="1"/>
  <c r="P172" i="6"/>
  <c r="Q57" i="6" l="1"/>
  <c r="C23" i="8"/>
  <c r="D22" i="8"/>
  <c r="E20" i="9" s="1"/>
  <c r="G20" i="9" s="1"/>
  <c r="P164" i="6"/>
  <c r="P44" i="6" s="1"/>
  <c r="P49" i="6" s="1"/>
  <c r="Q58" i="6"/>
  <c r="P169" i="6" l="1"/>
  <c r="P170" i="6" s="1"/>
  <c r="B21" i="11"/>
  <c r="C20" i="11"/>
  <c r="D20" i="11" s="1"/>
  <c r="P174" i="6"/>
  <c r="Q60" i="6"/>
  <c r="C25" i="12" l="1"/>
  <c r="F22" i="11"/>
  <c r="M20" i="9"/>
  <c r="P20" i="9" s="1"/>
  <c r="G20" i="11"/>
  <c r="I20" i="9" s="1"/>
  <c r="J20" i="9" s="1"/>
  <c r="Q111" i="6"/>
  <c r="B24" i="12" l="1"/>
  <c r="R20" i="9"/>
  <c r="Q123" i="6"/>
  <c r="Q122" i="6"/>
  <c r="Q121" i="6"/>
  <c r="Q118" i="6"/>
  <c r="Q120" i="6"/>
  <c r="Q119" i="6"/>
  <c r="E24" i="12" l="1"/>
  <c r="K24" i="12" s="1"/>
  <c r="L24" i="12" s="1"/>
  <c r="Q126" i="6"/>
  <c r="B21" i="10" s="1"/>
  <c r="D21" i="10" s="1"/>
  <c r="H21" i="9" s="1"/>
  <c r="Q158" i="6" l="1"/>
  <c r="Q38" i="6" s="1"/>
  <c r="Q148" i="6"/>
  <c r="Q28" i="6" s="1"/>
  <c r="Q138" i="6"/>
  <c r="Q134" i="6"/>
  <c r="Q133" i="6"/>
  <c r="Q132" i="6"/>
  <c r="Q131" i="6"/>
  <c r="Q135" i="6"/>
  <c r="Q151" i="6"/>
  <c r="Q31" i="6" s="1"/>
  <c r="Q137" i="6"/>
  <c r="Q155" i="6"/>
  <c r="Q35" i="6" s="1"/>
  <c r="Q143" i="6"/>
  <c r="Q145" i="6"/>
  <c r="Q25" i="6" s="1"/>
  <c r="Q157" i="6"/>
  <c r="Q37" i="6" s="1"/>
  <c r="Q136" i="6"/>
  <c r="Q167" i="6"/>
  <c r="Q47" i="6" s="1"/>
  <c r="Q154" i="6"/>
  <c r="Q34" i="6" s="1"/>
  <c r="Q156" i="6"/>
  <c r="Q36" i="6" s="1"/>
  <c r="Q147" i="6"/>
  <c r="Q27" i="6" s="1"/>
  <c r="Q144" i="6"/>
  <c r="Q161" i="6"/>
  <c r="Q41" i="6" s="1"/>
  <c r="Q139" i="6"/>
  <c r="Q166" i="6"/>
  <c r="Q46" i="6" s="1"/>
  <c r="Q152" i="6"/>
  <c r="Q32" i="6" s="1"/>
  <c r="Q140" i="6"/>
  <c r="Q146" i="6"/>
  <c r="Q26" i="6" s="1"/>
  <c r="Q153" i="6"/>
  <c r="Q33" i="6" s="1"/>
  <c r="Q141" i="6"/>
  <c r="Q149" i="6"/>
  <c r="Q29" i="6" s="1"/>
  <c r="Q160" i="6"/>
  <c r="Q40" i="6" s="1"/>
  <c r="Q159" i="6"/>
  <c r="Q39" i="6" s="1"/>
  <c r="Q163" i="6"/>
  <c r="Q43" i="6" s="1"/>
  <c r="Q142" i="6"/>
  <c r="Q150" i="6"/>
  <c r="Q30" i="6" s="1"/>
  <c r="Q172" i="6"/>
  <c r="Q162" i="6" l="1"/>
  <c r="Q42" i="6" s="1"/>
  <c r="R57" i="6"/>
  <c r="C24" i="8"/>
  <c r="Q164" i="6"/>
  <c r="Q44" i="6" s="1"/>
  <c r="D23" i="8"/>
  <c r="E21" i="9" s="1"/>
  <c r="G21" i="9" s="1"/>
  <c r="R58" i="6"/>
  <c r="R60" i="6" l="1"/>
  <c r="R111" i="6" s="1"/>
  <c r="Q165" i="6"/>
  <c r="Q45" i="6" s="1"/>
  <c r="Q49" i="6" s="1"/>
  <c r="Q174" i="6" s="1"/>
  <c r="C26" i="12"/>
  <c r="F23" i="11"/>
  <c r="C21" i="11"/>
  <c r="D21" i="11" s="1"/>
  <c r="B22" i="11"/>
  <c r="Q169" i="6" l="1"/>
  <c r="Q170" i="6" s="1"/>
  <c r="M21" i="9"/>
  <c r="P21" i="9" s="1"/>
  <c r="G21" i="11"/>
  <c r="I21" i="9" s="1"/>
  <c r="J21" i="9" s="1"/>
  <c r="R123" i="6"/>
  <c r="R119" i="6"/>
  <c r="R122" i="6"/>
  <c r="R118" i="6"/>
  <c r="R121" i="6"/>
  <c r="R120" i="6"/>
  <c r="B25" i="12" l="1"/>
  <c r="R21" i="9"/>
  <c r="R126" i="6"/>
  <c r="B22" i="10" s="1"/>
  <c r="D22" i="10" s="1"/>
  <c r="H22" i="9" s="1"/>
  <c r="E25" i="12" l="1"/>
  <c r="K25" i="12" s="1"/>
  <c r="L25" i="12" s="1"/>
  <c r="R131" i="6"/>
  <c r="R163" i="6"/>
  <c r="R43" i="6" s="1"/>
  <c r="R145" i="6"/>
  <c r="R155" i="6"/>
  <c r="R35" i="6" s="1"/>
  <c r="R132" i="6"/>
  <c r="R142" i="6"/>
  <c r="R140" i="6"/>
  <c r="R153" i="6"/>
  <c r="R33" i="6" s="1"/>
  <c r="R135" i="6"/>
  <c r="R156" i="6"/>
  <c r="R36" i="6" s="1"/>
  <c r="R161" i="6"/>
  <c r="R41" i="6" s="1"/>
  <c r="R148" i="6"/>
  <c r="R28" i="6" s="1"/>
  <c r="R133" i="6"/>
  <c r="R149" i="6"/>
  <c r="R29" i="6" s="1"/>
  <c r="R150" i="6"/>
  <c r="R30" i="6" s="1"/>
  <c r="R137" i="6"/>
  <c r="R151" i="6"/>
  <c r="R31" i="6" s="1"/>
  <c r="R144" i="6"/>
  <c r="R141" i="6"/>
  <c r="R138" i="6"/>
  <c r="R136" i="6"/>
  <c r="R157" i="6"/>
  <c r="R37" i="6" s="1"/>
  <c r="R152" i="6"/>
  <c r="R32" i="6" s="1"/>
  <c r="R160" i="6"/>
  <c r="R40" i="6" s="1"/>
  <c r="R158" i="6"/>
  <c r="R38" i="6" s="1"/>
  <c r="R159" i="6"/>
  <c r="R39" i="6" s="1"/>
  <c r="R146" i="6"/>
  <c r="R26" i="6" s="1"/>
  <c r="R167" i="6"/>
  <c r="R47" i="6" s="1"/>
  <c r="R147" i="6"/>
  <c r="R27" i="6" s="1"/>
  <c r="R154" i="6"/>
  <c r="R34" i="6" s="1"/>
  <c r="R139" i="6"/>
  <c r="R134" i="6"/>
  <c r="R143" i="6"/>
  <c r="R172" i="6"/>
  <c r="R162" i="6" l="1"/>
  <c r="R42" i="6" s="1"/>
  <c r="S57" i="6"/>
  <c r="C25" i="8"/>
  <c r="D24" i="8"/>
  <c r="E22" i="9" s="1"/>
  <c r="G22" i="9" s="1"/>
  <c r="R165" i="6"/>
  <c r="R45" i="6" s="1"/>
  <c r="S58" i="6"/>
  <c r="R164" i="6" l="1"/>
  <c r="R44" i="6" s="1"/>
  <c r="S60" i="6"/>
  <c r="S111" i="6" s="1"/>
  <c r="R166" i="6"/>
  <c r="R46" i="6" s="1"/>
  <c r="R49" i="6" s="1"/>
  <c r="R174" i="6" s="1"/>
  <c r="C27" i="12"/>
  <c r="F24" i="11"/>
  <c r="C22" i="11"/>
  <c r="D22" i="11" s="1"/>
  <c r="B23" i="11"/>
  <c r="R169" i="6" l="1"/>
  <c r="R170" i="6" s="1"/>
  <c r="G22" i="11"/>
  <c r="I22" i="9" s="1"/>
  <c r="J22" i="9" s="1"/>
  <c r="M22" i="9"/>
  <c r="P22" i="9" s="1"/>
  <c r="S123" i="6"/>
  <c r="S122" i="6"/>
  <c r="S119" i="6"/>
  <c r="S118" i="6"/>
  <c r="S120" i="6"/>
  <c r="S121" i="6"/>
  <c r="B26" i="12" l="1"/>
  <c r="R22" i="9"/>
  <c r="S126" i="6"/>
  <c r="B23" i="10" s="1"/>
  <c r="D23" i="10" s="1"/>
  <c r="H23" i="9" s="1"/>
  <c r="E26" i="12" l="1"/>
  <c r="K26" i="12" s="1"/>
  <c r="L26" i="12" s="1"/>
  <c r="S154" i="6"/>
  <c r="S34" i="6" s="1"/>
  <c r="S146" i="6"/>
  <c r="S150" i="6"/>
  <c r="S30" i="6" s="1"/>
  <c r="S149" i="6"/>
  <c r="S29" i="6" s="1"/>
  <c r="S155" i="6"/>
  <c r="S35" i="6" s="1"/>
  <c r="S141" i="6"/>
  <c r="S166" i="6"/>
  <c r="S46" i="6" s="1"/>
  <c r="S156" i="6"/>
  <c r="S36" i="6" s="1"/>
  <c r="S136" i="6"/>
  <c r="S147" i="6"/>
  <c r="S27" i="6" s="1"/>
  <c r="S160" i="6"/>
  <c r="S40" i="6" s="1"/>
  <c r="S143" i="6"/>
  <c r="S148" i="6"/>
  <c r="S28" i="6" s="1"/>
  <c r="S135" i="6"/>
  <c r="S142" i="6"/>
  <c r="S161" i="6"/>
  <c r="S41" i="6" s="1"/>
  <c r="S133" i="6"/>
  <c r="S134" i="6"/>
  <c r="S144" i="6"/>
  <c r="S158" i="6"/>
  <c r="S38" i="6" s="1"/>
  <c r="S139" i="6"/>
  <c r="S153" i="6"/>
  <c r="S33" i="6" s="1"/>
  <c r="S131" i="6"/>
  <c r="S138" i="6"/>
  <c r="S163" i="6"/>
  <c r="S43" i="6" s="1"/>
  <c r="S152" i="6"/>
  <c r="S32" i="6" s="1"/>
  <c r="S132" i="6"/>
  <c r="S145" i="6"/>
  <c r="S151" i="6"/>
  <c r="S31" i="6" s="1"/>
  <c r="S140" i="6"/>
  <c r="S159" i="6"/>
  <c r="S39" i="6" s="1"/>
  <c r="S137" i="6"/>
  <c r="S157" i="6"/>
  <c r="S37" i="6" s="1"/>
  <c r="S172" i="6"/>
  <c r="S162" i="6" l="1"/>
  <c r="S42" i="6" s="1"/>
  <c r="T57" i="6"/>
  <c r="C26" i="8"/>
  <c r="D25" i="8"/>
  <c r="E23" i="9" s="1"/>
  <c r="G23" i="9" s="1"/>
  <c r="T58" i="6"/>
  <c r="S165" i="6"/>
  <c r="S45" i="6" s="1"/>
  <c r="S164" i="6" l="1"/>
  <c r="S44" i="6" s="1"/>
  <c r="S167" i="6"/>
  <c r="S47" i="6" s="1"/>
  <c r="B24" i="11"/>
  <c r="C23" i="11"/>
  <c r="D23" i="11" s="1"/>
  <c r="T60" i="6"/>
  <c r="S49" i="6" l="1"/>
  <c r="S174" i="6" s="1"/>
  <c r="S169" i="6"/>
  <c r="S170" i="6" s="1"/>
  <c r="C28" i="12"/>
  <c r="F25" i="11"/>
  <c r="G23" i="11"/>
  <c r="I23" i="9" s="1"/>
  <c r="J23" i="9" s="1"/>
  <c r="M23" i="9"/>
  <c r="P23" i="9" s="1"/>
  <c r="T111" i="6"/>
  <c r="B27" i="12" l="1"/>
  <c r="R23" i="9"/>
  <c r="T121" i="6"/>
  <c r="T120" i="6"/>
  <c r="T122" i="6"/>
  <c r="T123" i="6"/>
  <c r="T119" i="6"/>
  <c r="T118" i="6"/>
  <c r="E27" i="12" l="1"/>
  <c r="K27" i="12" s="1"/>
  <c r="L27" i="12" s="1"/>
  <c r="T126" i="6"/>
  <c r="T160" i="6" s="1"/>
  <c r="T40" i="6" s="1"/>
  <c r="B24" i="10" l="1"/>
  <c r="D24" i="10" s="1"/>
  <c r="H24" i="9" s="1"/>
  <c r="T148" i="6"/>
  <c r="T28" i="6" s="1"/>
  <c r="T138" i="6"/>
  <c r="T140" i="6"/>
  <c r="T163" i="6"/>
  <c r="T43" i="6" s="1"/>
  <c r="T172" i="6"/>
  <c r="T134" i="6"/>
  <c r="T142" i="6"/>
  <c r="T132" i="6"/>
  <c r="T146" i="6"/>
  <c r="T137" i="6"/>
  <c r="T161" i="6"/>
  <c r="T41" i="6" s="1"/>
  <c r="T154" i="6"/>
  <c r="T34" i="6" s="1"/>
  <c r="T153" i="6"/>
  <c r="T33" i="6" s="1"/>
  <c r="T156" i="6"/>
  <c r="T36" i="6" s="1"/>
  <c r="T135" i="6"/>
  <c r="T157" i="6"/>
  <c r="T37" i="6" s="1"/>
  <c r="T159" i="6"/>
  <c r="T39" i="6" s="1"/>
  <c r="T147" i="6"/>
  <c r="T143" i="6"/>
  <c r="T141" i="6"/>
  <c r="T149" i="6"/>
  <c r="T29" i="6" s="1"/>
  <c r="T145" i="6"/>
  <c r="T155" i="6"/>
  <c r="T35" i="6" s="1"/>
  <c r="T139" i="6"/>
  <c r="T152" i="6"/>
  <c r="T32" i="6" s="1"/>
  <c r="T136" i="6"/>
  <c r="T151" i="6"/>
  <c r="T31" i="6" s="1"/>
  <c r="T131" i="6"/>
  <c r="T144" i="6"/>
  <c r="T133" i="6"/>
  <c r="T158" i="6"/>
  <c r="T38" i="6" s="1"/>
  <c r="T166" i="6"/>
  <c r="T46" i="6" s="1"/>
  <c r="T150" i="6"/>
  <c r="T30" i="6" s="1"/>
  <c r="T162" i="6" l="1"/>
  <c r="T42" i="6" s="1"/>
  <c r="U57" i="6"/>
  <c r="C27" i="8"/>
  <c r="D26" i="8"/>
  <c r="E24" i="9" s="1"/>
  <c r="G24" i="9" s="1"/>
  <c r="U58" i="6"/>
  <c r="T165" i="6"/>
  <c r="T45" i="6" s="1"/>
  <c r="T164" i="6" l="1"/>
  <c r="T44" i="6" s="1"/>
  <c r="U60" i="6"/>
  <c r="F26" i="11" s="1"/>
  <c r="T167" i="6"/>
  <c r="T47" i="6" s="1"/>
  <c r="T49" i="6" s="1"/>
  <c r="T174" i="6" s="1"/>
  <c r="C29" i="12"/>
  <c r="C24" i="11"/>
  <c r="D24" i="11" s="1"/>
  <c r="B25" i="11"/>
  <c r="T169" i="6" l="1"/>
  <c r="T170" i="6" s="1"/>
  <c r="U111" i="6"/>
  <c r="U122" i="6" s="1"/>
  <c r="G24" i="11"/>
  <c r="I24" i="9" s="1"/>
  <c r="J24" i="9" s="1"/>
  <c r="M24" i="9"/>
  <c r="P24" i="9" s="1"/>
  <c r="U123" i="6" l="1"/>
  <c r="U121" i="6"/>
  <c r="U120" i="6"/>
  <c r="U118" i="6"/>
  <c r="U119" i="6"/>
  <c r="B28" i="12"/>
  <c r="B25" i="10"/>
  <c r="D25" i="10" s="1"/>
  <c r="H25" i="9" s="1"/>
  <c r="R24" i="9"/>
  <c r="U126" i="6" l="1"/>
  <c r="U145" i="6" s="1"/>
  <c r="E28" i="12"/>
  <c r="K28" i="12" s="1"/>
  <c r="L28" i="12" s="1"/>
  <c r="U138" i="6" l="1"/>
  <c r="U135" i="6"/>
  <c r="U151" i="6"/>
  <c r="U31" i="6" s="1"/>
  <c r="U133" i="6"/>
  <c r="U157" i="6"/>
  <c r="U37" i="6" s="1"/>
  <c r="U159" i="6"/>
  <c r="U39" i="6" s="1"/>
  <c r="U153" i="6"/>
  <c r="U33" i="6" s="1"/>
  <c r="U139" i="6"/>
  <c r="U152" i="6"/>
  <c r="U32" i="6" s="1"/>
  <c r="U154" i="6"/>
  <c r="U34" i="6" s="1"/>
  <c r="U148" i="6"/>
  <c r="U163" i="6"/>
  <c r="U43" i="6" s="1"/>
  <c r="U150" i="6"/>
  <c r="U30" i="6" s="1"/>
  <c r="V58" i="6" s="1"/>
  <c r="U132" i="6"/>
  <c r="U141" i="6"/>
  <c r="U144" i="6"/>
  <c r="U158" i="6"/>
  <c r="U38" i="6" s="1"/>
  <c r="U142" i="6"/>
  <c r="U143" i="6"/>
  <c r="U134" i="6"/>
  <c r="U162" i="6"/>
  <c r="U42" i="6" s="1"/>
  <c r="U146" i="6"/>
  <c r="U155" i="6"/>
  <c r="U35" i="6" s="1"/>
  <c r="U156" i="6"/>
  <c r="U36" i="6" s="1"/>
  <c r="U149" i="6"/>
  <c r="U29" i="6" s="1"/>
  <c r="U160" i="6"/>
  <c r="U40" i="6" s="1"/>
  <c r="U166" i="6"/>
  <c r="U46" i="6" s="1"/>
  <c r="U147" i="6"/>
  <c r="U137" i="6"/>
  <c r="U172" i="6"/>
  <c r="C28" i="8" s="1"/>
  <c r="U140" i="6"/>
  <c r="U131" i="6"/>
  <c r="U161" i="6"/>
  <c r="U41" i="6" s="1"/>
  <c r="U136" i="6"/>
  <c r="U164" i="6"/>
  <c r="U44" i="6" s="1"/>
  <c r="D27" i="8"/>
  <c r="E25" i="9" s="1"/>
  <c r="G25" i="9" s="1"/>
  <c r="C30" i="12"/>
  <c r="U165" i="6"/>
  <c r="U45" i="6" s="1"/>
  <c r="V57" i="6" l="1"/>
  <c r="V60" i="6" s="1"/>
  <c r="V111" i="6" s="1"/>
  <c r="V119" i="6" s="1"/>
  <c r="U167" i="6"/>
  <c r="U47" i="6" s="1"/>
  <c r="U49" i="6" s="1"/>
  <c r="U174" i="6" s="1"/>
  <c r="B26" i="11"/>
  <c r="C25" i="11"/>
  <c r="D25" i="11" s="1"/>
  <c r="M25" i="9" s="1"/>
  <c r="P25" i="9" s="1"/>
  <c r="F27" i="11"/>
  <c r="U169" i="6" l="1"/>
  <c r="U170" i="6" s="1"/>
  <c r="G25" i="11"/>
  <c r="I25" i="9" s="1"/>
  <c r="J25" i="9" s="1"/>
  <c r="B29" i="12" s="1"/>
  <c r="V120" i="6"/>
  <c r="V123" i="6"/>
  <c r="V122" i="6"/>
  <c r="V121" i="6"/>
  <c r="V118" i="6"/>
  <c r="R25" i="9" l="1"/>
  <c r="V126" i="6"/>
  <c r="B26" i="10" s="1"/>
  <c r="D26" i="10" s="1"/>
  <c r="H26" i="9" s="1"/>
  <c r="E29" i="12"/>
  <c r="K29" i="12" s="1"/>
  <c r="L29" i="12" s="1"/>
  <c r="V147" i="6" l="1"/>
  <c r="V156" i="6"/>
  <c r="V36" i="6" s="1"/>
  <c r="V150" i="6"/>
  <c r="V30" i="6" s="1"/>
  <c r="V158" i="6"/>
  <c r="V38" i="6" s="1"/>
  <c r="V144" i="6"/>
  <c r="V136" i="6"/>
  <c r="V142" i="6"/>
  <c r="V134" i="6"/>
  <c r="V148" i="6"/>
  <c r="V163" i="6"/>
  <c r="V43" i="6" s="1"/>
  <c r="V146" i="6"/>
  <c r="V172" i="6"/>
  <c r="V161" i="6"/>
  <c r="V41" i="6" s="1"/>
  <c r="V138" i="6"/>
  <c r="V154" i="6"/>
  <c r="V34" i="6" s="1"/>
  <c r="V132" i="6"/>
  <c r="V149" i="6"/>
  <c r="V133" i="6"/>
  <c r="V145" i="6"/>
  <c r="V151" i="6"/>
  <c r="V31" i="6" s="1"/>
  <c r="V141" i="6"/>
  <c r="V159" i="6"/>
  <c r="V39" i="6" s="1"/>
  <c r="V131" i="6"/>
  <c r="V165" i="6" s="1"/>
  <c r="V45" i="6" s="1"/>
  <c r="V157" i="6"/>
  <c r="V37" i="6" s="1"/>
  <c r="V137" i="6"/>
  <c r="V152" i="6"/>
  <c r="V32" i="6" s="1"/>
  <c r="V153" i="6"/>
  <c r="V33" i="6" s="1"/>
  <c r="V155" i="6"/>
  <c r="V35" i="6" s="1"/>
  <c r="V160" i="6"/>
  <c r="V40" i="6" s="1"/>
  <c r="V140" i="6"/>
  <c r="V143" i="6"/>
  <c r="V166" i="6"/>
  <c r="V46" i="6" s="1"/>
  <c r="V135" i="6"/>
  <c r="V139" i="6"/>
  <c r="V162" i="6" l="1"/>
  <c r="V42" i="6" s="1"/>
  <c r="W57" i="6"/>
  <c r="C29" i="8"/>
  <c r="W58" i="6"/>
  <c r="D28" i="8"/>
  <c r="E26" i="9" s="1"/>
  <c r="G26" i="9" s="1"/>
  <c r="C31" i="12"/>
  <c r="F28" i="11"/>
  <c r="V164" i="6" l="1"/>
  <c r="V44" i="6" s="1"/>
  <c r="W60" i="6"/>
  <c r="W111" i="6" s="1"/>
  <c r="W123" i="6" s="1"/>
  <c r="V167" i="6"/>
  <c r="V47" i="6" s="1"/>
  <c r="B27" i="11"/>
  <c r="C26" i="11"/>
  <c r="D26" i="11" s="1"/>
  <c r="V49" i="6" l="1"/>
  <c r="V174" i="6" s="1"/>
  <c r="W119" i="6"/>
  <c r="W118" i="6"/>
  <c r="W121" i="6"/>
  <c r="W120" i="6"/>
  <c r="W122" i="6"/>
  <c r="V169" i="6"/>
  <c r="V170" i="6" s="1"/>
  <c r="G26" i="11"/>
  <c r="I26" i="9" s="1"/>
  <c r="J26" i="9" s="1"/>
  <c r="M26" i="9"/>
  <c r="P26" i="9" s="1"/>
  <c r="W126" i="6" l="1"/>
  <c r="B27" i="10" s="1"/>
  <c r="D27" i="10" s="1"/>
  <c r="H27" i="9" s="1"/>
  <c r="R26" i="9"/>
  <c r="B30" i="12"/>
  <c r="E30" i="12" s="1"/>
  <c r="K30" i="12" s="1"/>
  <c r="L30" i="12" s="1"/>
  <c r="W145" i="6" l="1"/>
  <c r="W131" i="6"/>
  <c r="W146" i="6"/>
  <c r="W156" i="6"/>
  <c r="W36" i="6" s="1"/>
  <c r="W154" i="6"/>
  <c r="W34" i="6" s="1"/>
  <c r="W152" i="6"/>
  <c r="W32" i="6" s="1"/>
  <c r="X58" i="6" s="1"/>
  <c r="W161" i="6"/>
  <c r="W41" i="6" s="1"/>
  <c r="W159" i="6"/>
  <c r="W39" i="6" s="1"/>
  <c r="W157" i="6"/>
  <c r="W37" i="6" s="1"/>
  <c r="W132" i="6"/>
  <c r="W172" i="6"/>
  <c r="X57" i="6" s="1"/>
  <c r="W151" i="6"/>
  <c r="W31" i="6" s="1"/>
  <c r="W141" i="6"/>
  <c r="W148" i="6"/>
  <c r="W147" i="6"/>
  <c r="W142" i="6"/>
  <c r="W137" i="6"/>
  <c r="W140" i="6"/>
  <c r="W155" i="6"/>
  <c r="W35" i="6" s="1"/>
  <c r="W163" i="6"/>
  <c r="W43" i="6" s="1"/>
  <c r="W143" i="6"/>
  <c r="W135" i="6"/>
  <c r="W139" i="6"/>
  <c r="W150" i="6"/>
  <c r="W166" i="6"/>
  <c r="W46" i="6" s="1"/>
  <c r="W149" i="6"/>
  <c r="W144" i="6"/>
  <c r="W158" i="6"/>
  <c r="W38" i="6" s="1"/>
  <c r="W136" i="6"/>
  <c r="W138" i="6"/>
  <c r="W160" i="6"/>
  <c r="W40" i="6" s="1"/>
  <c r="W134" i="6"/>
  <c r="W133" i="6"/>
  <c r="W153" i="6"/>
  <c r="W33" i="6" s="1"/>
  <c r="D29" i="8"/>
  <c r="E27" i="9" s="1"/>
  <c r="G27" i="9" s="1"/>
  <c r="W165" i="6"/>
  <c r="W45" i="6" s="1"/>
  <c r="B28" i="11"/>
  <c r="C27" i="11"/>
  <c r="D27" i="11" s="1"/>
  <c r="W162" i="6" l="1"/>
  <c r="W42" i="6" s="1"/>
  <c r="C30" i="8"/>
  <c r="X60" i="6"/>
  <c r="X111" i="6" s="1"/>
  <c r="X119" i="6" s="1"/>
  <c r="W167" i="6"/>
  <c r="W47" i="6" s="1"/>
  <c r="C32" i="12"/>
  <c r="F29" i="11"/>
  <c r="M27" i="9"/>
  <c r="P27" i="9" s="1"/>
  <c r="G27" i="11"/>
  <c r="I27" i="9" s="1"/>
  <c r="J27" i="9" s="1"/>
  <c r="W164" i="6" l="1"/>
  <c r="W44" i="6" s="1"/>
  <c r="W49" i="6" s="1"/>
  <c r="W174" i="6" s="1"/>
  <c r="B31" i="12"/>
  <c r="X122" i="6"/>
  <c r="X121" i="6"/>
  <c r="X118" i="6"/>
  <c r="X120" i="6"/>
  <c r="X123" i="6"/>
  <c r="R27" i="9"/>
  <c r="W169" i="6" l="1"/>
  <c r="W170" i="6" s="1"/>
  <c r="E31" i="12"/>
  <c r="K31" i="12" s="1"/>
  <c r="L31" i="12" s="1"/>
  <c r="X126" i="6"/>
  <c r="B28" i="10" l="1"/>
  <c r="D28" i="10" s="1"/>
  <c r="H28" i="9" s="1"/>
  <c r="X137" i="6"/>
  <c r="X145" i="6"/>
  <c r="X135" i="6"/>
  <c r="X132" i="6"/>
  <c r="X152" i="6"/>
  <c r="X32" i="6" s="1"/>
  <c r="X146" i="6"/>
  <c r="X134" i="6"/>
  <c r="X154" i="6"/>
  <c r="X34" i="6" s="1"/>
  <c r="X144" i="6"/>
  <c r="X139" i="6"/>
  <c r="X140" i="6"/>
  <c r="X158" i="6"/>
  <c r="X38" i="6" s="1"/>
  <c r="X151" i="6"/>
  <c r="X142" i="6"/>
  <c r="X136" i="6"/>
  <c r="X172" i="6"/>
  <c r="X161" i="6"/>
  <c r="X41" i="6" s="1"/>
  <c r="X156" i="6"/>
  <c r="X36" i="6" s="1"/>
  <c r="X143" i="6"/>
  <c r="X141" i="6"/>
  <c r="X150" i="6"/>
  <c r="X155" i="6"/>
  <c r="X35" i="6" s="1"/>
  <c r="X159" i="6"/>
  <c r="X39" i="6" s="1"/>
  <c r="X138" i="6"/>
  <c r="X166" i="6"/>
  <c r="X46" i="6" s="1"/>
  <c r="X163" i="6"/>
  <c r="X43" i="6" s="1"/>
  <c r="X149" i="6"/>
  <c r="X131" i="6"/>
  <c r="X153" i="6"/>
  <c r="X33" i="6" s="1"/>
  <c r="Y58" i="6" s="1"/>
  <c r="X148" i="6"/>
  <c r="X133" i="6"/>
  <c r="X147" i="6"/>
  <c r="X157" i="6"/>
  <c r="X37" i="6" s="1"/>
  <c r="X160" i="6"/>
  <c r="X40" i="6" s="1"/>
  <c r="X162" i="6" l="1"/>
  <c r="X42" i="6" s="1"/>
  <c r="Y57" i="6"/>
  <c r="Y60" i="6" s="1"/>
  <c r="C31" i="8"/>
  <c r="X165" i="6"/>
  <c r="X45" i="6" s="1"/>
  <c r="B29" i="11"/>
  <c r="C28" i="11"/>
  <c r="D28" i="11" s="1"/>
  <c r="X164" i="6" l="1"/>
  <c r="X44" i="6" s="1"/>
  <c r="D30" i="8"/>
  <c r="E28" i="9" s="1"/>
  <c r="G28" i="9" s="1"/>
  <c r="X167" i="6"/>
  <c r="X47" i="6" s="1"/>
  <c r="C33" i="12"/>
  <c r="F30" i="11"/>
  <c r="Y111" i="6"/>
  <c r="Y122" i="6" s="1"/>
  <c r="M28" i="9"/>
  <c r="P28" i="9" s="1"/>
  <c r="G28" i="11"/>
  <c r="I28" i="9" s="1"/>
  <c r="X49" i="6" l="1"/>
  <c r="X174" i="6" s="1"/>
  <c r="J28" i="9"/>
  <c r="R28" i="9" s="1"/>
  <c r="X169" i="6"/>
  <c r="X170" i="6" s="1"/>
  <c r="Y123" i="6"/>
  <c r="Y121" i="6"/>
  <c r="Y120" i="6"/>
  <c r="Y119" i="6"/>
  <c r="Y118" i="6"/>
  <c r="B32" i="12" l="1"/>
  <c r="E32" i="12" s="1"/>
  <c r="K32" i="12" s="1"/>
  <c r="L32" i="12" s="1"/>
  <c r="Y126" i="6"/>
  <c r="B29" i="10" s="1"/>
  <c r="D29" i="10" s="1"/>
  <c r="H29" i="9" s="1"/>
  <c r="Y142" i="6" l="1"/>
  <c r="Y139" i="6"/>
  <c r="Y166" i="6"/>
  <c r="Y46" i="6" s="1"/>
  <c r="Y156" i="6"/>
  <c r="Y36" i="6" s="1"/>
  <c r="Y172" i="6"/>
  <c r="Y131" i="6"/>
  <c r="Y147" i="6"/>
  <c r="Y148" i="6"/>
  <c r="Y149" i="6"/>
  <c r="Y135" i="6"/>
  <c r="Y151" i="6"/>
  <c r="Y143" i="6"/>
  <c r="Y150" i="6"/>
  <c r="Y132" i="6"/>
  <c r="Y138" i="6"/>
  <c r="Y145" i="6"/>
  <c r="Y133" i="6"/>
  <c r="Y134" i="6"/>
  <c r="Y137" i="6"/>
  <c r="Y159" i="6"/>
  <c r="Y39" i="6" s="1"/>
  <c r="Y154" i="6"/>
  <c r="Y34" i="6" s="1"/>
  <c r="Z58" i="6" s="1"/>
  <c r="Y146" i="6"/>
  <c r="Y141" i="6"/>
  <c r="Y155" i="6"/>
  <c r="Y35" i="6" s="1"/>
  <c r="Y157" i="6"/>
  <c r="Y37" i="6" s="1"/>
  <c r="Y158" i="6"/>
  <c r="Y38" i="6" s="1"/>
  <c r="Y153" i="6"/>
  <c r="Y33" i="6" s="1"/>
  <c r="Y152" i="6"/>
  <c r="Y160" i="6"/>
  <c r="Y40" i="6" s="1"/>
  <c r="Y140" i="6"/>
  <c r="Y163" i="6"/>
  <c r="Y43" i="6" s="1"/>
  <c r="Y144" i="6"/>
  <c r="Y161" i="6"/>
  <c r="Y41" i="6" s="1"/>
  <c r="Y136" i="6"/>
  <c r="Y162" i="6" l="1"/>
  <c r="Y42" i="6" s="1"/>
  <c r="Z57" i="6"/>
  <c r="Z60" i="6" s="1"/>
  <c r="C32" i="8"/>
  <c r="Y164" i="6"/>
  <c r="Y44" i="6" s="1"/>
  <c r="D31" i="8"/>
  <c r="E29" i="9" s="1"/>
  <c r="G29" i="9" s="1"/>
  <c r="Y165" i="6"/>
  <c r="Y45" i="6" s="1"/>
  <c r="C29" i="11"/>
  <c r="D29" i="11" s="1"/>
  <c r="B30" i="11"/>
  <c r="Y167" i="6" l="1"/>
  <c r="Y47" i="6" s="1"/>
  <c r="Y49" i="6" s="1"/>
  <c r="Y174" i="6" s="1"/>
  <c r="C34" i="12"/>
  <c r="F31" i="11"/>
  <c r="Z111" i="6"/>
  <c r="Z121" i="6" s="1"/>
  <c r="M29" i="9"/>
  <c r="P29" i="9" s="1"/>
  <c r="G29" i="11"/>
  <c r="I29" i="9" s="1"/>
  <c r="J29" i="9" s="1"/>
  <c r="Y169" i="6" l="1"/>
  <c r="Y170" i="6" s="1"/>
  <c r="B33" i="12"/>
  <c r="Z120" i="6"/>
  <c r="Z123" i="6"/>
  <c r="Z122" i="6"/>
  <c r="Z119" i="6"/>
  <c r="Z118" i="6"/>
  <c r="R29" i="9"/>
  <c r="E33" i="12" l="1"/>
  <c r="K33" i="12" s="1"/>
  <c r="L33" i="12" s="1"/>
  <c r="Z126" i="6"/>
  <c r="Z134" i="6" s="1"/>
  <c r="B30" i="10"/>
  <c r="D30" i="10" s="1"/>
  <c r="H30" i="9" s="1"/>
  <c r="Z163" i="6" l="1"/>
  <c r="Z43" i="6" s="1"/>
  <c r="Z150" i="6"/>
  <c r="Z151" i="6"/>
  <c r="Z155" i="6"/>
  <c r="Z35" i="6" s="1"/>
  <c r="AA58" i="6" s="1"/>
  <c r="Z157" i="6"/>
  <c r="Z37" i="6" s="1"/>
  <c r="Z138" i="6"/>
  <c r="Z135" i="6"/>
  <c r="Z148" i="6"/>
  <c r="Z154" i="6"/>
  <c r="Z34" i="6" s="1"/>
  <c r="Z146" i="6"/>
  <c r="Z153" i="6"/>
  <c r="Z147" i="6"/>
  <c r="Z159" i="6"/>
  <c r="Z39" i="6" s="1"/>
  <c r="Z141" i="6"/>
  <c r="Z143" i="6"/>
  <c r="Z156" i="6"/>
  <c r="Z36" i="6" s="1"/>
  <c r="Z160" i="6"/>
  <c r="Z40" i="6" s="1"/>
  <c r="Z172" i="6"/>
  <c r="Z158" i="6"/>
  <c r="Z38" i="6" s="1"/>
  <c r="Z144" i="6"/>
  <c r="Z139" i="6"/>
  <c r="Z131" i="6"/>
  <c r="Z164" i="6" s="1"/>
  <c r="Z44" i="6" s="1"/>
  <c r="Z137" i="6"/>
  <c r="Z142" i="6"/>
  <c r="Z145" i="6"/>
  <c r="Z136" i="6"/>
  <c r="Z140" i="6"/>
  <c r="Z132" i="6"/>
  <c r="Z133" i="6"/>
  <c r="Z149" i="6"/>
  <c r="Z166" i="6"/>
  <c r="Z46" i="6" s="1"/>
  <c r="Z152" i="6"/>
  <c r="Z161" i="6"/>
  <c r="Z41" i="6" s="1"/>
  <c r="Z165" i="6"/>
  <c r="Z45" i="6" s="1"/>
  <c r="Z162" i="6" l="1"/>
  <c r="Z42" i="6" s="1"/>
  <c r="AA57" i="6"/>
  <c r="AA60" i="6" s="1"/>
  <c r="F32" i="11" s="1"/>
  <c r="C33" i="8"/>
  <c r="Z167" i="6"/>
  <c r="Z47" i="6" s="1"/>
  <c r="D32" i="8"/>
  <c r="E30" i="9" s="1"/>
  <c r="G30" i="9" s="1"/>
  <c r="Z49" i="6" l="1"/>
  <c r="Z174" i="6" s="1"/>
  <c r="Z169" i="6"/>
  <c r="Z170" i="6" s="1"/>
  <c r="C30" i="11"/>
  <c r="D30" i="11" s="1"/>
  <c r="M30" i="9" s="1"/>
  <c r="P30" i="9" s="1"/>
  <c r="B31" i="11"/>
  <c r="C35" i="12"/>
  <c r="AA111" i="6"/>
  <c r="G30" i="11" l="1"/>
  <c r="I30" i="9" s="1"/>
  <c r="J30" i="9" s="1"/>
  <c r="B34" i="12" s="1"/>
  <c r="AA118" i="6"/>
  <c r="AA122" i="6"/>
  <c r="AA119" i="6"/>
  <c r="AA121" i="6"/>
  <c r="AA123" i="6"/>
  <c r="AA120" i="6"/>
  <c r="R30" i="9" l="1"/>
  <c r="E34" i="12"/>
  <c r="K34" i="12" s="1"/>
  <c r="L34" i="12" s="1"/>
  <c r="AA126" i="6"/>
  <c r="AA141" i="6" s="1"/>
  <c r="AA163" i="6" l="1"/>
  <c r="AA43" i="6" s="1"/>
  <c r="AA152" i="6"/>
  <c r="AA165" i="6"/>
  <c r="AA45" i="6" s="1"/>
  <c r="AA144" i="6"/>
  <c r="AA139" i="6"/>
  <c r="AA166" i="6"/>
  <c r="AA46" i="6" s="1"/>
  <c r="AA137" i="6"/>
  <c r="AA140" i="6"/>
  <c r="AA160" i="6"/>
  <c r="AA40" i="6" s="1"/>
  <c r="AA155" i="6"/>
  <c r="AA35" i="6" s="1"/>
  <c r="AA142" i="6"/>
  <c r="AA158" i="6"/>
  <c r="AA38" i="6" s="1"/>
  <c r="AA147" i="6"/>
  <c r="AA157" i="6"/>
  <c r="AA37" i="6" s="1"/>
  <c r="AA135" i="6"/>
  <c r="AA148" i="6"/>
  <c r="B31" i="10"/>
  <c r="D31" i="10" s="1"/>
  <c r="H31" i="9" s="1"/>
  <c r="AA134" i="6"/>
  <c r="AA131" i="6"/>
  <c r="AA159" i="6"/>
  <c r="AA39" i="6" s="1"/>
  <c r="AA150" i="6"/>
  <c r="AA132" i="6"/>
  <c r="AA149" i="6"/>
  <c r="AA143" i="6"/>
  <c r="AA154" i="6"/>
  <c r="AA136" i="6"/>
  <c r="AA156" i="6"/>
  <c r="AA36" i="6" s="1"/>
  <c r="AA138" i="6"/>
  <c r="AA164" i="6"/>
  <c r="AA44" i="6" s="1"/>
  <c r="AA172" i="6"/>
  <c r="AA161" i="6"/>
  <c r="AA41" i="6" s="1"/>
  <c r="AA145" i="6"/>
  <c r="AA146" i="6"/>
  <c r="AA151" i="6"/>
  <c r="AA133" i="6"/>
  <c r="AA153" i="6"/>
  <c r="AA162" i="6" l="1"/>
  <c r="AA42" i="6" s="1"/>
  <c r="AA167" i="6"/>
  <c r="AA47" i="6" s="1"/>
  <c r="AB57" i="6"/>
  <c r="C34" i="8"/>
  <c r="D33" i="8"/>
  <c r="E31" i="9" s="1"/>
  <c r="G31" i="9" s="1"/>
  <c r="AB58" i="6"/>
  <c r="AA49" i="6" l="1"/>
  <c r="AA174" i="6" s="1"/>
  <c r="AB60" i="6"/>
  <c r="F33" i="11" s="1"/>
  <c r="AA169" i="6"/>
  <c r="AA170" i="6" s="1"/>
  <c r="C31" i="11"/>
  <c r="D31" i="11" s="1"/>
  <c r="B32" i="11"/>
  <c r="C36" i="12"/>
  <c r="AB111" i="6" l="1"/>
  <c r="AB118" i="6" s="1"/>
  <c r="M31" i="9"/>
  <c r="P31" i="9" s="1"/>
  <c r="G31" i="11"/>
  <c r="I31" i="9" s="1"/>
  <c r="J31" i="9" s="1"/>
  <c r="AB121" i="6" l="1"/>
  <c r="AB120" i="6"/>
  <c r="AB122" i="6"/>
  <c r="AB119" i="6"/>
  <c r="AB123" i="6"/>
  <c r="B35" i="12"/>
  <c r="E35" i="12" s="1"/>
  <c r="K35" i="12" s="1"/>
  <c r="L35" i="12" s="1"/>
  <c r="R31" i="9"/>
  <c r="AB126" i="6" l="1"/>
  <c r="AB158" i="6" s="1"/>
  <c r="AB38" i="6" s="1"/>
  <c r="B32" i="10"/>
  <c r="D32" i="10" s="1"/>
  <c r="H32" i="9" s="1"/>
  <c r="AB163" i="6" l="1"/>
  <c r="AB43" i="6" s="1"/>
  <c r="AB134" i="6"/>
  <c r="AB132" i="6"/>
  <c r="AB135" i="6"/>
  <c r="AB155" i="6"/>
  <c r="AB137" i="6"/>
  <c r="AB148" i="6"/>
  <c r="AB142" i="6"/>
  <c r="AB146" i="6"/>
  <c r="AB150" i="6"/>
  <c r="AB136" i="6"/>
  <c r="AB138" i="6"/>
  <c r="AB145" i="6"/>
  <c r="AB160" i="6"/>
  <c r="AB40" i="6" s="1"/>
  <c r="AB165" i="6"/>
  <c r="AB45" i="6" s="1"/>
  <c r="AB157" i="6"/>
  <c r="AB37" i="6" s="1"/>
  <c r="AC58" i="6" s="1"/>
  <c r="AB153" i="6"/>
  <c r="AB147" i="6"/>
  <c r="AB140" i="6"/>
  <c r="AB141" i="6"/>
  <c r="AB156" i="6"/>
  <c r="AB36" i="6" s="1"/>
  <c r="AB133" i="6"/>
  <c r="AB131" i="6"/>
  <c r="AB159" i="6"/>
  <c r="AB39" i="6" s="1"/>
  <c r="AB154" i="6"/>
  <c r="AB172" i="6"/>
  <c r="AC57" i="6" s="1"/>
  <c r="AB152" i="6"/>
  <c r="AB149" i="6"/>
  <c r="AB144" i="6"/>
  <c r="AB143" i="6"/>
  <c r="AB166" i="6"/>
  <c r="AB46" i="6" s="1"/>
  <c r="AB161" i="6"/>
  <c r="AB41" i="6" s="1"/>
  <c r="AB139" i="6"/>
  <c r="AB151" i="6"/>
  <c r="D34" i="8"/>
  <c r="E32" i="9" s="1"/>
  <c r="G32" i="9" s="1"/>
  <c r="AB162" i="6" l="1"/>
  <c r="AB42" i="6" s="1"/>
  <c r="C35" i="8"/>
  <c r="AC60" i="6"/>
  <c r="AC111" i="6" s="1"/>
  <c r="AB167" i="6"/>
  <c r="AB47" i="6" s="1"/>
  <c r="B33" i="11"/>
  <c r="C32" i="11"/>
  <c r="D32" i="11" s="1"/>
  <c r="C37" i="12"/>
  <c r="F34" i="11"/>
  <c r="AC123" i="6" l="1"/>
  <c r="AB164" i="6"/>
  <c r="AB44" i="6" s="1"/>
  <c r="AB49" i="6" s="1"/>
  <c r="AB174" i="6" s="1"/>
  <c r="AB169" i="6"/>
  <c r="AB170" i="6" s="1"/>
  <c r="M32" i="9"/>
  <c r="P32" i="9" s="1"/>
  <c r="G32" i="11"/>
  <c r="I32" i="9" s="1"/>
  <c r="J32" i="9" s="1"/>
  <c r="AC120" i="6"/>
  <c r="AC118" i="6"/>
  <c r="AC119" i="6"/>
  <c r="AC121" i="6"/>
  <c r="AC122" i="6"/>
  <c r="R32" i="9" l="1"/>
  <c r="B36" i="12"/>
  <c r="E36" i="12" s="1"/>
  <c r="K36" i="12" s="1"/>
  <c r="L36" i="12" s="1"/>
  <c r="AC126" i="6"/>
  <c r="B33" i="10" s="1"/>
  <c r="D33" i="10" s="1"/>
  <c r="H33" i="9" s="1"/>
  <c r="AC151" i="6" l="1"/>
  <c r="AC146" i="6"/>
  <c r="AC161" i="6"/>
  <c r="AC41" i="6" s="1"/>
  <c r="AC142" i="6"/>
  <c r="AC153" i="6"/>
  <c r="AC149" i="6"/>
  <c r="AC139" i="6"/>
  <c r="AC145" i="6"/>
  <c r="AC166" i="6"/>
  <c r="AC46" i="6" s="1"/>
  <c r="AC147" i="6"/>
  <c r="AC156" i="6"/>
  <c r="AC144" i="6"/>
  <c r="AC143" i="6"/>
  <c r="AC152" i="6"/>
  <c r="AC131" i="6"/>
  <c r="AC158" i="6"/>
  <c r="AC38" i="6" s="1"/>
  <c r="AC157" i="6"/>
  <c r="AC37" i="6" s="1"/>
  <c r="AC136" i="6"/>
  <c r="AC132" i="6"/>
  <c r="AC140" i="6"/>
  <c r="AC163" i="6"/>
  <c r="AC43" i="6" s="1"/>
  <c r="AC135" i="6"/>
  <c r="AC137" i="6"/>
  <c r="AC138" i="6"/>
  <c r="AC155" i="6"/>
  <c r="AC134" i="6"/>
  <c r="AC150" i="6"/>
  <c r="AC148" i="6"/>
  <c r="AC154" i="6"/>
  <c r="AC159" i="6"/>
  <c r="AC39" i="6" s="1"/>
  <c r="AC160" i="6"/>
  <c r="AC40" i="6" s="1"/>
  <c r="AC172" i="6"/>
  <c r="AC133" i="6"/>
  <c r="AC141" i="6"/>
  <c r="AC162" i="6" l="1"/>
  <c r="AC42" i="6" s="1"/>
  <c r="AD57" i="6"/>
  <c r="C36" i="8"/>
  <c r="AD58" i="6"/>
  <c r="D35" i="8"/>
  <c r="E33" i="9" s="1"/>
  <c r="G33" i="9" s="1"/>
  <c r="AC165" i="6"/>
  <c r="AC45" i="6" s="1"/>
  <c r="B34" i="11"/>
  <c r="C33" i="11"/>
  <c r="D33" i="11" s="1"/>
  <c r="AC164" i="6" l="1"/>
  <c r="AC44" i="6" s="1"/>
  <c r="AD60" i="6"/>
  <c r="AD111" i="6" s="1"/>
  <c r="AD121" i="6" s="1"/>
  <c r="AC167" i="6"/>
  <c r="AC47" i="6" s="1"/>
  <c r="AC49" i="6" s="1"/>
  <c r="AC174" i="6" s="1"/>
  <c r="C38" i="12"/>
  <c r="F35" i="11"/>
  <c r="M33" i="9"/>
  <c r="P33" i="9" s="1"/>
  <c r="G33" i="11"/>
  <c r="I33" i="9" s="1"/>
  <c r="J33" i="9" s="1"/>
  <c r="AC169" i="6" l="1"/>
  <c r="AC170" i="6" s="1"/>
  <c r="B37" i="12"/>
  <c r="AD122" i="6"/>
  <c r="AD118" i="6"/>
  <c r="AD123" i="6"/>
  <c r="AD119" i="6"/>
  <c r="AD120" i="6"/>
  <c r="R33" i="9"/>
  <c r="E37" i="12" l="1"/>
  <c r="K37" i="12" s="1"/>
  <c r="L37" i="12" s="1"/>
  <c r="AD126" i="6"/>
  <c r="B34" i="10" s="1"/>
  <c r="D34" i="10" s="1"/>
  <c r="H34" i="9" s="1"/>
  <c r="AD157" i="6" l="1"/>
  <c r="AD161" i="6"/>
  <c r="AD41" i="6" s="1"/>
  <c r="AD135" i="6"/>
  <c r="AD140" i="6"/>
  <c r="AD166" i="6"/>
  <c r="AD46" i="6" s="1"/>
  <c r="AD136" i="6"/>
  <c r="AD155" i="6"/>
  <c r="AD150" i="6"/>
  <c r="AD147" i="6"/>
  <c r="AD172" i="6"/>
  <c r="AD134" i="6"/>
  <c r="AD160" i="6"/>
  <c r="AD40" i="6" s="1"/>
  <c r="AD154" i="6"/>
  <c r="AD158" i="6"/>
  <c r="AD38" i="6" s="1"/>
  <c r="AD142" i="6"/>
  <c r="AD151" i="6"/>
  <c r="AD132" i="6"/>
  <c r="AD156" i="6"/>
  <c r="AD141" i="6"/>
  <c r="AD133" i="6"/>
  <c r="AD149" i="6"/>
  <c r="AD137" i="6"/>
  <c r="AD153" i="6"/>
  <c r="AD138" i="6"/>
  <c r="AD148" i="6"/>
  <c r="AD163" i="6"/>
  <c r="AD43" i="6" s="1"/>
  <c r="AD145" i="6"/>
  <c r="AD144" i="6"/>
  <c r="AD162" i="6"/>
  <c r="AD42" i="6" s="1"/>
  <c r="AD143" i="6"/>
  <c r="AD146" i="6"/>
  <c r="AD131" i="6"/>
  <c r="AD159" i="6"/>
  <c r="AD39" i="6" s="1"/>
  <c r="AE58" i="6" s="1"/>
  <c r="AD152" i="6"/>
  <c r="AD139" i="6"/>
  <c r="AE57" i="6" l="1"/>
  <c r="AE60" i="6" s="1"/>
  <c r="C37" i="8"/>
  <c r="AD164" i="6"/>
  <c r="AD44" i="6" s="1"/>
  <c r="D36" i="8"/>
  <c r="E34" i="9" s="1"/>
  <c r="G34" i="9" s="1"/>
  <c r="AD165" i="6"/>
  <c r="AD45" i="6" s="1"/>
  <c r="AD167" i="6" l="1"/>
  <c r="AD47" i="6" s="1"/>
  <c r="AD49" i="6" s="1"/>
  <c r="AD174" i="6" s="1"/>
  <c r="C34" i="11"/>
  <c r="D34" i="11" s="1"/>
  <c r="G34" i="11" s="1"/>
  <c r="I34" i="9" s="1"/>
  <c r="J34" i="9" s="1"/>
  <c r="B35" i="11"/>
  <c r="C39" i="12"/>
  <c r="F36" i="11"/>
  <c r="AE111" i="6"/>
  <c r="AD169" i="6" l="1"/>
  <c r="AD170" i="6" s="1"/>
  <c r="M34" i="9"/>
  <c r="P34" i="9" s="1"/>
  <c r="R34" i="9" s="1"/>
  <c r="AE123" i="6"/>
  <c r="AE122" i="6"/>
  <c r="AE121" i="6"/>
  <c r="AE120" i="6"/>
  <c r="AE119" i="6"/>
  <c r="AE118" i="6"/>
  <c r="B38" i="12" l="1"/>
  <c r="E38" i="12" s="1"/>
  <c r="K38" i="12" s="1"/>
  <c r="L38" i="12" s="1"/>
  <c r="AE126" i="6"/>
  <c r="B35" i="10" s="1"/>
  <c r="D35" i="10" s="1"/>
  <c r="H35" i="9" s="1"/>
  <c r="AE162" i="6" l="1"/>
  <c r="AE42" i="6" s="1"/>
  <c r="AE157" i="6"/>
  <c r="AE144" i="6"/>
  <c r="AE142" i="6"/>
  <c r="AE149" i="6"/>
  <c r="AE151" i="6"/>
  <c r="AE140" i="6"/>
  <c r="AE156" i="6"/>
  <c r="AE135" i="6"/>
  <c r="AE131" i="6"/>
  <c r="AE155" i="6"/>
  <c r="AE148" i="6"/>
  <c r="AE166" i="6"/>
  <c r="AE46" i="6" s="1"/>
  <c r="AE167" i="6"/>
  <c r="AE47" i="6" s="1"/>
  <c r="AE159" i="6"/>
  <c r="AE39" i="6" s="1"/>
  <c r="AE141" i="6"/>
  <c r="AE139" i="6"/>
  <c r="AE158" i="6"/>
  <c r="AE136" i="6"/>
  <c r="AE143" i="6"/>
  <c r="AE137" i="6"/>
  <c r="AE132" i="6"/>
  <c r="AE161" i="6"/>
  <c r="AE41" i="6" s="1"/>
  <c r="AE146" i="6"/>
  <c r="AE163" i="6"/>
  <c r="AE43" i="6" s="1"/>
  <c r="AE152" i="6"/>
  <c r="AE134" i="6"/>
  <c r="AE154" i="6"/>
  <c r="AE147" i="6"/>
  <c r="AE164" i="6"/>
  <c r="AE44" i="6" s="1"/>
  <c r="AE133" i="6"/>
  <c r="AE145" i="6"/>
  <c r="AE160" i="6"/>
  <c r="AE40" i="6" s="1"/>
  <c r="AE138" i="6"/>
  <c r="AE150" i="6"/>
  <c r="AE153" i="6"/>
  <c r="AE172" i="6"/>
  <c r="AF57" i="6" l="1"/>
  <c r="C38" i="8"/>
  <c r="AE165" i="6"/>
  <c r="AE45" i="6" s="1"/>
  <c r="AE49" i="6" s="1"/>
  <c r="D37" i="8"/>
  <c r="E35" i="9" s="1"/>
  <c r="G35" i="9" s="1"/>
  <c r="AF58" i="6"/>
  <c r="AF60" i="6" l="1"/>
  <c r="AF111" i="6" s="1"/>
  <c r="C40" i="12"/>
  <c r="F37" i="11"/>
  <c r="AE169" i="6"/>
  <c r="AE170" i="6" s="1"/>
  <c r="C35" i="11"/>
  <c r="D35" i="11" s="1"/>
  <c r="B36" i="11"/>
  <c r="AE174" i="6"/>
  <c r="M35" i="9" l="1"/>
  <c r="P35" i="9" s="1"/>
  <c r="G35" i="11"/>
  <c r="I35" i="9" s="1"/>
  <c r="J35" i="9" s="1"/>
  <c r="AF121" i="6"/>
  <c r="AF118" i="6"/>
  <c r="AF123" i="6"/>
  <c r="AF122" i="6"/>
  <c r="AF119" i="6"/>
  <c r="AF120" i="6"/>
  <c r="B39" i="12" l="1"/>
  <c r="R35" i="9"/>
  <c r="AF126" i="6"/>
  <c r="B36" i="10" s="1"/>
  <c r="D36" i="10" s="1"/>
  <c r="H36" i="9" s="1"/>
  <c r="E39" i="12" l="1"/>
  <c r="K39" i="12" s="1"/>
  <c r="L39" i="12" s="1"/>
  <c r="AF141" i="6"/>
  <c r="AF139" i="6"/>
  <c r="AF161" i="6"/>
  <c r="AF41" i="6" s="1"/>
  <c r="AF153" i="6"/>
  <c r="AF143" i="6"/>
  <c r="AF166" i="6"/>
  <c r="AF46" i="6" s="1"/>
  <c r="AF147" i="6"/>
  <c r="AF148" i="6"/>
  <c r="AF131" i="6"/>
  <c r="AF156" i="6"/>
  <c r="AF140" i="6"/>
  <c r="AF162" i="6"/>
  <c r="AF42" i="6" s="1"/>
  <c r="AF135" i="6"/>
  <c r="AF154" i="6"/>
  <c r="AF158" i="6"/>
  <c r="AF134" i="6"/>
  <c r="AF132" i="6"/>
  <c r="AF164" i="6"/>
  <c r="AF44" i="6" s="1"/>
  <c r="AF144" i="6"/>
  <c r="AF145" i="6"/>
  <c r="AF151" i="6"/>
  <c r="AF137" i="6"/>
  <c r="AF136" i="6"/>
  <c r="AF149" i="6"/>
  <c r="AF152" i="6"/>
  <c r="AF146" i="6"/>
  <c r="AF157" i="6"/>
  <c r="AF163" i="6"/>
  <c r="AF43" i="6" s="1"/>
  <c r="AF159" i="6"/>
  <c r="AF142" i="6"/>
  <c r="AF155" i="6"/>
  <c r="AF138" i="6"/>
  <c r="AF160" i="6"/>
  <c r="AF40" i="6" s="1"/>
  <c r="AF133" i="6"/>
  <c r="AF150" i="6"/>
  <c r="AF172" i="6"/>
  <c r="AG57" i="6" l="1"/>
  <c r="C39" i="8"/>
  <c r="D38" i="8"/>
  <c r="E36" i="9" s="1"/>
  <c r="G36" i="9" s="1"/>
  <c r="AF165" i="6"/>
  <c r="AF45" i="6" s="1"/>
  <c r="AG58" i="6"/>
  <c r="AF167" i="6" l="1"/>
  <c r="AF47" i="6" s="1"/>
  <c r="AF49" i="6" s="1"/>
  <c r="AF174" i="6" s="1"/>
  <c r="B37" i="11"/>
  <c r="C36" i="11"/>
  <c r="D36" i="11" s="1"/>
  <c r="AG60" i="6"/>
  <c r="AF169" i="6" l="1"/>
  <c r="AF170" i="6" s="1"/>
  <c r="C41" i="12"/>
  <c r="F38" i="11"/>
  <c r="G36" i="11"/>
  <c r="I36" i="9" s="1"/>
  <c r="J36" i="9" s="1"/>
  <c r="M36" i="9"/>
  <c r="P36" i="9" s="1"/>
  <c r="AG111" i="6"/>
  <c r="AG122" i="6" l="1"/>
  <c r="AG123" i="6"/>
  <c r="B40" i="12"/>
  <c r="R36" i="9"/>
  <c r="AG118" i="6"/>
  <c r="AG120" i="6"/>
  <c r="AG121" i="6"/>
  <c r="AG119" i="6"/>
  <c r="E40" i="12" l="1"/>
  <c r="K40" i="12" s="1"/>
  <c r="L40" i="12" s="1"/>
  <c r="AG126" i="6"/>
  <c r="B37" i="10" s="1"/>
  <c r="D37" i="10" s="1"/>
  <c r="H37" i="9" s="1"/>
  <c r="AG149" i="6" l="1"/>
  <c r="AG142" i="6"/>
  <c r="AG140" i="6"/>
  <c r="AG137" i="6"/>
  <c r="AG155" i="6"/>
  <c r="AG163" i="6"/>
  <c r="AG43" i="6" s="1"/>
  <c r="AG146" i="6"/>
  <c r="AG143" i="6"/>
  <c r="AG132" i="6"/>
  <c r="AG148" i="6"/>
  <c r="AG157" i="6"/>
  <c r="AG150" i="6"/>
  <c r="AG138" i="6"/>
  <c r="AG156" i="6"/>
  <c r="AG160" i="6"/>
  <c r="AG151" i="6"/>
  <c r="AG133" i="6"/>
  <c r="AG152" i="6"/>
  <c r="AG164" i="6"/>
  <c r="AG44" i="6" s="1"/>
  <c r="AG139" i="6"/>
  <c r="AG162" i="6"/>
  <c r="AG42" i="6" s="1"/>
  <c r="AG167" i="6"/>
  <c r="AG47" i="6" s="1"/>
  <c r="AG145" i="6"/>
  <c r="AG165" i="6"/>
  <c r="AG45" i="6" s="1"/>
  <c r="AG141" i="6"/>
  <c r="AG153" i="6"/>
  <c r="AG159" i="6"/>
  <c r="AG136" i="6"/>
  <c r="AG144" i="6"/>
  <c r="AG166" i="6"/>
  <c r="AG46" i="6" s="1"/>
  <c r="AG131" i="6"/>
  <c r="AG154" i="6"/>
  <c r="AG135" i="6"/>
  <c r="AG147" i="6"/>
  <c r="AG158" i="6"/>
  <c r="AG161" i="6"/>
  <c r="AG41" i="6" s="1"/>
  <c r="AG134" i="6"/>
  <c r="AG172" i="6"/>
  <c r="AH57" i="6" l="1"/>
  <c r="C40" i="8"/>
  <c r="D39" i="8"/>
  <c r="E37" i="9" s="1"/>
  <c r="G37" i="9" s="1"/>
  <c r="AG169" i="6"/>
  <c r="AG170" i="6" s="1"/>
  <c r="AH58" i="6"/>
  <c r="AG49" i="6"/>
  <c r="AH60" i="6" l="1"/>
  <c r="AH111" i="6" s="1"/>
  <c r="AH123" i="6" s="1"/>
  <c r="C42" i="12"/>
  <c r="F39" i="11"/>
  <c r="B38" i="11"/>
  <c r="C37" i="11"/>
  <c r="D37" i="11" s="1"/>
  <c r="AG174" i="6"/>
  <c r="AH122" i="6" l="1"/>
  <c r="AH121" i="6"/>
  <c r="M37" i="9"/>
  <c r="P37" i="9" s="1"/>
  <c r="G37" i="11"/>
  <c r="I37" i="9" s="1"/>
  <c r="J37" i="9" s="1"/>
  <c r="AH118" i="6"/>
  <c r="AH120" i="6"/>
  <c r="AH119" i="6"/>
  <c r="AH126" i="6" l="1"/>
  <c r="B41" i="12"/>
  <c r="R37" i="9"/>
  <c r="B38" i="10"/>
  <c r="D38" i="10" s="1"/>
  <c r="H38" i="9" s="1"/>
  <c r="E41" i="12" l="1"/>
  <c r="K41" i="12" s="1"/>
  <c r="L41" i="12" s="1"/>
  <c r="AH161" i="6"/>
  <c r="AH137" i="6"/>
  <c r="AH146" i="6"/>
  <c r="AH144" i="6"/>
  <c r="AH138" i="6"/>
  <c r="AH148" i="6"/>
  <c r="AH141" i="6"/>
  <c r="AH159" i="6"/>
  <c r="AH152" i="6"/>
  <c r="AH157" i="6"/>
  <c r="AH133" i="6"/>
  <c r="AH165" i="6"/>
  <c r="AH45" i="6" s="1"/>
  <c r="AH167" i="6"/>
  <c r="AH47" i="6" s="1"/>
  <c r="AH134" i="6"/>
  <c r="AH166" i="6"/>
  <c r="AH46" i="6" s="1"/>
  <c r="AH145" i="6"/>
  <c r="AH136" i="6"/>
  <c r="AH131" i="6"/>
  <c r="AH150" i="6"/>
  <c r="AH142" i="6"/>
  <c r="AH155" i="6"/>
  <c r="AH135" i="6"/>
  <c r="AH162" i="6"/>
  <c r="AH42" i="6" s="1"/>
  <c r="AH154" i="6"/>
  <c r="AH158" i="6"/>
  <c r="AH151" i="6"/>
  <c r="AH147" i="6"/>
  <c r="AH160" i="6"/>
  <c r="AH140" i="6"/>
  <c r="AH156" i="6"/>
  <c r="AH163" i="6"/>
  <c r="AH43" i="6" s="1"/>
  <c r="AH143" i="6"/>
  <c r="AH149" i="6"/>
  <c r="AH132" i="6"/>
  <c r="AH153" i="6"/>
  <c r="AH164" i="6"/>
  <c r="AH44" i="6" s="1"/>
  <c r="AH139" i="6"/>
  <c r="AH172" i="6"/>
  <c r="AI57" i="6" l="1"/>
  <c r="C41" i="8"/>
  <c r="D40" i="8"/>
  <c r="E38" i="9" s="1"/>
  <c r="G38" i="9" s="1"/>
  <c r="AH49" i="6"/>
  <c r="AI58" i="6"/>
  <c r="AH169" i="6"/>
  <c r="AH170" i="6" s="1"/>
  <c r="C38" i="11" l="1"/>
  <c r="D38" i="11" s="1"/>
  <c r="B39" i="11"/>
  <c r="AH174" i="6"/>
  <c r="AI60" i="6"/>
  <c r="C43" i="12" l="1"/>
  <c r="F40" i="11"/>
  <c r="G38" i="11"/>
  <c r="I38" i="9" s="1"/>
  <c r="J38" i="9" s="1"/>
  <c r="M38" i="9"/>
  <c r="P38" i="9" s="1"/>
  <c r="AI111" i="6"/>
  <c r="AI122" i="6" l="1"/>
  <c r="AI121" i="6"/>
  <c r="AI120" i="6"/>
  <c r="AI123" i="6"/>
  <c r="B42" i="12"/>
  <c r="R38" i="9"/>
  <c r="AI119" i="6"/>
  <c r="AI118" i="6"/>
  <c r="E42" i="12" l="1"/>
  <c r="K42" i="12" s="1"/>
  <c r="L42" i="12" s="1"/>
  <c r="AI126" i="6"/>
  <c r="AI158" i="6" l="1"/>
  <c r="B39" i="10"/>
  <c r="D39" i="10" s="1"/>
  <c r="H39" i="9" s="1"/>
  <c r="AI141" i="6"/>
  <c r="AI146" i="6"/>
  <c r="AI149" i="6"/>
  <c r="AI148" i="6"/>
  <c r="AI134" i="6"/>
  <c r="AI172" i="6"/>
  <c r="AI155" i="6"/>
  <c r="AI161" i="6"/>
  <c r="AI153" i="6"/>
  <c r="AI150" i="6"/>
  <c r="AI164" i="6"/>
  <c r="AI44" i="6" s="1"/>
  <c r="AI137" i="6"/>
  <c r="AI139" i="6"/>
  <c r="AI156" i="6"/>
  <c r="AI143" i="6"/>
  <c r="AI140" i="6"/>
  <c r="AI138" i="6"/>
  <c r="AI154" i="6"/>
  <c r="AI151" i="6"/>
  <c r="AI167" i="6"/>
  <c r="AI47" i="6" s="1"/>
  <c r="AI145" i="6"/>
  <c r="AI131" i="6"/>
  <c r="AI166" i="6"/>
  <c r="AI46" i="6" s="1"/>
  <c r="AI152" i="6"/>
  <c r="AI136" i="6"/>
  <c r="AI133" i="6"/>
  <c r="AI142" i="6"/>
  <c r="AI159" i="6"/>
  <c r="AI157" i="6"/>
  <c r="AI132" i="6"/>
  <c r="AI162" i="6"/>
  <c r="AI135" i="6"/>
  <c r="AI160" i="6"/>
  <c r="AI165" i="6"/>
  <c r="AI45" i="6" s="1"/>
  <c r="AI163" i="6"/>
  <c r="AI43" i="6" s="1"/>
  <c r="AI147" i="6"/>
  <c r="AI144" i="6"/>
  <c r="AJ57" i="6" l="1"/>
  <c r="C42" i="8"/>
  <c r="D41" i="8"/>
  <c r="E39" i="9" s="1"/>
  <c r="G39" i="9" s="1"/>
  <c r="AJ58" i="6"/>
  <c r="AI169" i="6"/>
  <c r="AI170" i="6" s="1"/>
  <c r="AI49" i="6"/>
  <c r="AJ60" i="6" l="1"/>
  <c r="AJ111" i="6" s="1"/>
  <c r="F41" i="11"/>
  <c r="C44" i="12"/>
  <c r="B40" i="11"/>
  <c r="C39" i="11"/>
  <c r="D39" i="11" s="1"/>
  <c r="AI174" i="6"/>
  <c r="C45" i="12" l="1"/>
  <c r="AJ118" i="6"/>
  <c r="AJ121" i="6"/>
  <c r="AJ122" i="6"/>
  <c r="AJ119" i="6"/>
  <c r="AJ120" i="6"/>
  <c r="AJ123" i="6"/>
  <c r="M39" i="9"/>
  <c r="P39" i="9" s="1"/>
  <c r="G39" i="11"/>
  <c r="I39" i="9" s="1"/>
  <c r="J39" i="9" s="1"/>
  <c r="AJ126" i="6" l="1"/>
  <c r="AJ163" i="6" s="1"/>
  <c r="B43" i="12"/>
  <c r="R39" i="9"/>
  <c r="AJ136" i="6" l="1"/>
  <c r="AJ143" i="6"/>
  <c r="AJ150" i="6"/>
  <c r="AJ131" i="6"/>
  <c r="AJ164" i="6"/>
  <c r="AJ44" i="6" s="1"/>
  <c r="AJ160" i="6"/>
  <c r="AJ166" i="6"/>
  <c r="AJ46" i="6" s="1"/>
  <c r="AJ140" i="6"/>
  <c r="AJ159" i="6"/>
  <c r="AJ138" i="6"/>
  <c r="AJ161" i="6"/>
  <c r="AJ142" i="6"/>
  <c r="AJ155" i="6"/>
  <c r="AJ133" i="6"/>
  <c r="AJ153" i="6"/>
  <c r="AJ165" i="6"/>
  <c r="AJ45" i="6" s="1"/>
  <c r="AK45" i="6" s="1"/>
  <c r="AJ132" i="6"/>
  <c r="AJ146" i="6"/>
  <c r="AJ156" i="6"/>
  <c r="B40" i="10"/>
  <c r="D40" i="10" s="1"/>
  <c r="H40" i="9" s="1"/>
  <c r="AJ157" i="6"/>
  <c r="AJ151" i="6"/>
  <c r="AJ147" i="6"/>
  <c r="AJ139" i="6"/>
  <c r="AJ167" i="6"/>
  <c r="AJ47" i="6" s="1"/>
  <c r="AJ137" i="6"/>
  <c r="AJ154" i="6"/>
  <c r="AJ144" i="6"/>
  <c r="AJ145" i="6"/>
  <c r="AJ148" i="6"/>
  <c r="AJ134" i="6"/>
  <c r="AJ149" i="6"/>
  <c r="AJ141" i="6"/>
  <c r="AJ158" i="6"/>
  <c r="AJ162" i="6"/>
  <c r="AJ135" i="6"/>
  <c r="AJ172" i="6"/>
  <c r="AJ152" i="6"/>
  <c r="C40" i="11"/>
  <c r="D40" i="11" s="1"/>
  <c r="G40" i="11" s="1"/>
  <c r="I40" i="9" s="1"/>
  <c r="B41" i="11"/>
  <c r="E43" i="12"/>
  <c r="K43" i="12" s="1"/>
  <c r="L43" i="12" s="1"/>
  <c r="F42" i="11"/>
  <c r="AK57" i="6" l="1"/>
  <c r="C43" i="8"/>
  <c r="D42" i="8"/>
  <c r="E40" i="9" s="1"/>
  <c r="G40" i="9" s="1"/>
  <c r="J40" i="9" s="1"/>
  <c r="AK58" i="6"/>
  <c r="AJ49" i="6"/>
  <c r="AJ174" i="6" s="1"/>
  <c r="AJ169" i="6"/>
  <c r="AK122" i="6"/>
  <c r="AK120" i="6"/>
  <c r="AK123" i="6"/>
  <c r="AK121" i="6"/>
  <c r="M40" i="9"/>
  <c r="P40" i="9" s="1"/>
  <c r="AK60" i="6" l="1"/>
  <c r="C46" i="12" s="1"/>
  <c r="B44" i="12"/>
  <c r="E44" i="12" s="1"/>
  <c r="K44" i="12" s="1"/>
  <c r="L44" i="12" s="1"/>
  <c r="R40" i="9"/>
  <c r="B41" i="10"/>
  <c r="AK111" i="6" l="1"/>
  <c r="AK119" i="6"/>
  <c r="AK118" i="6"/>
  <c r="D43" i="8"/>
  <c r="E41" i="9" s="1"/>
  <c r="G41" i="9" s="1"/>
  <c r="D41" i="10"/>
  <c r="AL46" i="6"/>
  <c r="AK126" i="6" l="1"/>
  <c r="AK148" i="6" s="1"/>
  <c r="H41" i="9"/>
  <c r="F43" i="11"/>
  <c r="B42" i="11"/>
  <c r="C41" i="11"/>
  <c r="D41" i="11" s="1"/>
  <c r="AK164" i="6" l="1"/>
  <c r="AK166" i="6"/>
  <c r="AK46" i="6" s="1"/>
  <c r="AL58" i="6" s="1"/>
  <c r="AK146" i="6"/>
  <c r="AK156" i="6"/>
  <c r="AK137" i="6"/>
  <c r="AK140" i="6"/>
  <c r="AK167" i="6"/>
  <c r="AK47" i="6" s="1"/>
  <c r="AK132" i="6"/>
  <c r="AK141" i="6"/>
  <c r="AK160" i="6"/>
  <c r="AK154" i="6"/>
  <c r="AK131" i="6"/>
  <c r="AK158" i="6"/>
  <c r="AK165" i="6"/>
  <c r="AK153" i="6"/>
  <c r="AK134" i="6"/>
  <c r="AK138" i="6"/>
  <c r="AK145" i="6"/>
  <c r="AK142" i="6"/>
  <c r="AK133" i="6"/>
  <c r="AK149" i="6"/>
  <c r="AK152" i="6"/>
  <c r="AK151" i="6"/>
  <c r="AK144" i="6"/>
  <c r="AK147" i="6"/>
  <c r="AK135" i="6"/>
  <c r="AK172" i="6"/>
  <c r="AL57" i="6" s="1"/>
  <c r="AK150" i="6"/>
  <c r="AK161" i="6"/>
  <c r="AK155" i="6"/>
  <c r="AK162" i="6"/>
  <c r="AK159" i="6"/>
  <c r="AK157" i="6"/>
  <c r="AK136" i="6"/>
  <c r="AK163" i="6"/>
  <c r="AK143" i="6"/>
  <c r="AK139" i="6"/>
  <c r="M41" i="9"/>
  <c r="G41" i="11"/>
  <c r="I41" i="9" s="1"/>
  <c r="J41" i="9" s="1"/>
  <c r="AL122" i="6"/>
  <c r="AL119" i="6"/>
  <c r="AL123" i="6"/>
  <c r="AL121" i="6"/>
  <c r="AL120" i="6"/>
  <c r="AL60" i="6" l="1"/>
  <c r="AL111" i="6" s="1"/>
  <c r="AL118" i="6" s="1"/>
  <c r="AL126" i="6" s="1"/>
  <c r="AL157" i="6" s="1"/>
  <c r="AK49" i="6"/>
  <c r="AK174" i="6" s="1"/>
  <c r="C44" i="8"/>
  <c r="D44" i="8" s="1"/>
  <c r="AK169" i="6"/>
  <c r="B45" i="12"/>
  <c r="E45" i="12" s="1"/>
  <c r="K45" i="12" s="1"/>
  <c r="L45" i="12" s="1"/>
  <c r="P41" i="9"/>
  <c r="B42" i="10"/>
  <c r="C47" i="12" l="1"/>
  <c r="AL145" i="6"/>
  <c r="AL163" i="6"/>
  <c r="AL160" i="6"/>
  <c r="AL150" i="6"/>
  <c r="AL140" i="6"/>
  <c r="AL146" i="6"/>
  <c r="AL132" i="6"/>
  <c r="AL153" i="6"/>
  <c r="AL138" i="6"/>
  <c r="AL144" i="6"/>
  <c r="AL133" i="6"/>
  <c r="AL143" i="6"/>
  <c r="AL164" i="6"/>
  <c r="AL156" i="6"/>
  <c r="AL159" i="6"/>
  <c r="AL149" i="6"/>
  <c r="AL166" i="6"/>
  <c r="AL167" i="6"/>
  <c r="AL47" i="6" s="1"/>
  <c r="AM58" i="6" s="1"/>
  <c r="AL155" i="6"/>
  <c r="AL131" i="6"/>
  <c r="AL137" i="6"/>
  <c r="AL135" i="6"/>
  <c r="AL158" i="6"/>
  <c r="AL134" i="6"/>
  <c r="AL152" i="6"/>
  <c r="AL147" i="6"/>
  <c r="AL172" i="6"/>
  <c r="AL165" i="6"/>
  <c r="AL136" i="6"/>
  <c r="AL151" i="6"/>
  <c r="AL148" i="6"/>
  <c r="AL154" i="6"/>
  <c r="AL142" i="6"/>
  <c r="AL162" i="6"/>
  <c r="AL161" i="6"/>
  <c r="AL139" i="6"/>
  <c r="AL141" i="6"/>
  <c r="D42" i="10"/>
  <c r="R41" i="9"/>
  <c r="AM47" i="6"/>
  <c r="AM57" i="6" l="1"/>
  <c r="AM60" i="6" s="1"/>
  <c r="C45" i="8"/>
  <c r="D45" i="8" s="1"/>
  <c r="AL49" i="6"/>
  <c r="AL174" i="6" s="1"/>
  <c r="AL169" i="6"/>
  <c r="H42" i="9"/>
  <c r="E42" i="9"/>
  <c r="F44" i="11"/>
  <c r="C42" i="11"/>
  <c r="D42" i="11" s="1"/>
  <c r="B43" i="11"/>
  <c r="AM111" i="6" l="1"/>
  <c r="C48" i="12"/>
  <c r="G42" i="9"/>
  <c r="G42" i="11"/>
  <c r="I42" i="9" s="1"/>
  <c r="M42" i="9"/>
  <c r="AM123" i="6"/>
  <c r="AM122" i="6"/>
  <c r="AM120" i="6"/>
  <c r="AM119" i="6"/>
  <c r="AM118" i="6"/>
  <c r="AM121" i="6"/>
  <c r="P42" i="9" l="1"/>
  <c r="AM126" i="6"/>
  <c r="AM142" i="6" s="1"/>
  <c r="J42" i="9"/>
  <c r="B46" i="12" s="1"/>
  <c r="B43" i="10"/>
  <c r="AM163" i="6" l="1"/>
  <c r="AM151" i="6"/>
  <c r="AM166" i="6"/>
  <c r="AM149" i="6"/>
  <c r="AM146" i="6"/>
  <c r="AM165" i="6"/>
  <c r="AM157" i="6"/>
  <c r="AM152" i="6"/>
  <c r="AM144" i="6"/>
  <c r="AM172" i="6"/>
  <c r="C46" i="8" s="1"/>
  <c r="D46" i="8" s="1"/>
  <c r="AM156" i="6"/>
  <c r="AM145" i="6"/>
  <c r="AM167" i="6"/>
  <c r="AM161" i="6"/>
  <c r="AM162" i="6"/>
  <c r="AM132" i="6"/>
  <c r="AM154" i="6"/>
  <c r="AM147" i="6"/>
  <c r="AM136" i="6"/>
  <c r="AM140" i="6"/>
  <c r="AM155" i="6"/>
  <c r="AM143" i="6"/>
  <c r="AM148" i="6"/>
  <c r="D43" i="10"/>
  <c r="E46" i="12"/>
  <c r="K46" i="12" s="1"/>
  <c r="L46" i="12" s="1"/>
  <c r="R42" i="9"/>
  <c r="AM141" i="6"/>
  <c r="AM137" i="6"/>
  <c r="AM158" i="6"/>
  <c r="AM139" i="6"/>
  <c r="AM160" i="6"/>
  <c r="AM135" i="6"/>
  <c r="AM133" i="6"/>
  <c r="AM150" i="6"/>
  <c r="AM134" i="6"/>
  <c r="AM138" i="6"/>
  <c r="AM164" i="6"/>
  <c r="AM153" i="6"/>
  <c r="AM131" i="6"/>
  <c r="AM159" i="6"/>
  <c r="E43" i="9" l="1"/>
  <c r="AM49" i="6"/>
  <c r="AM174" i="6" s="1"/>
  <c r="AM169" i="6"/>
  <c r="H43" i="9"/>
  <c r="C43" i="11"/>
  <c r="D43" i="11" s="1"/>
  <c r="B44" i="11"/>
  <c r="G43" i="11" l="1"/>
  <c r="I43" i="9" s="1"/>
  <c r="M43" i="9"/>
  <c r="G43" i="9"/>
  <c r="J43" i="9" l="1"/>
  <c r="B47" i="12" s="1"/>
  <c r="P43" i="9"/>
  <c r="B44" i="10"/>
  <c r="D44" i="10" l="1"/>
  <c r="R43" i="9"/>
  <c r="E47" i="12" s="1"/>
  <c r="K47" i="12" s="1"/>
  <c r="L47" i="12" s="1"/>
  <c r="E44" i="9" l="1"/>
  <c r="H44" i="9"/>
  <c r="C44" i="11"/>
  <c r="D44" i="11" s="1"/>
  <c r="G44" i="9" l="1"/>
  <c r="M44" i="9"/>
  <c r="G44" i="11"/>
  <c r="I44" i="9" s="1"/>
  <c r="J44" i="9" l="1"/>
  <c r="B48" i="12" s="1"/>
  <c r="E48" i="12" s="1"/>
  <c r="P44" i="9"/>
  <c r="R44" i="9" l="1"/>
  <c r="K48" i="12" s="1"/>
  <c r="D49" i="8"/>
  <c r="L48" i="12" l="1"/>
  <c r="C63" i="2"/>
  <c r="G47" i="9"/>
  <c r="E47" i="9"/>
  <c r="P47" i="9" l="1"/>
  <c r="M47" i="9"/>
  <c r="G48" i="11" l="1"/>
  <c r="I47" i="9"/>
  <c r="B47" i="10"/>
  <c r="D47" i="10" l="1"/>
  <c r="H47" i="9" l="1"/>
  <c r="J47" i="9" l="1"/>
  <c r="R47" i="9" l="1"/>
</calcChain>
</file>

<file path=xl/sharedStrings.xml><?xml version="1.0" encoding="utf-8"?>
<sst xmlns="http://schemas.openxmlformats.org/spreadsheetml/2006/main" count="1277" uniqueCount="211">
  <si>
    <t>Delaware Valley Regional Finance Authority</t>
  </si>
  <si>
    <t>1997 Series</t>
  </si>
  <si>
    <t>2007 Series</t>
  </si>
  <si>
    <t>Total Debt Service</t>
  </si>
  <si>
    <t>Year</t>
  </si>
  <si>
    <t>Interest</t>
  </si>
  <si>
    <t>Principal</t>
  </si>
  <si>
    <t>Total</t>
  </si>
  <si>
    <t>Year Ending</t>
  </si>
  <si>
    <t>Total Funding</t>
  </si>
  <si>
    <t>Source: Calhoun Baker Inc.</t>
  </si>
  <si>
    <t>Coupon</t>
  </si>
  <si>
    <t>Rate</t>
  </si>
  <si>
    <t>Notional</t>
  </si>
  <si>
    <t>Receipt</t>
  </si>
  <si>
    <t>Receipts</t>
  </si>
  <si>
    <t>SIFMA</t>
  </si>
  <si>
    <t>Index</t>
  </si>
  <si>
    <t>Spread to</t>
  </si>
  <si>
    <t>Remarketing</t>
  </si>
  <si>
    <t>Amortization</t>
  </si>
  <si>
    <t>Outstanding</t>
  </si>
  <si>
    <t>Administrative</t>
  </si>
  <si>
    <t>Costs</t>
  </si>
  <si>
    <t>Expense</t>
  </si>
  <si>
    <t>Factor</t>
  </si>
  <si>
    <t>Estimated Administrative Expenses</t>
  </si>
  <si>
    <t>of Loans</t>
  </si>
  <si>
    <t>for Loans</t>
  </si>
  <si>
    <t>Recycling Fund Beginning</t>
  </si>
  <si>
    <t>Loan Amortization</t>
  </si>
  <si>
    <t>Recycling Funds Available</t>
  </si>
  <si>
    <t>Debt</t>
  </si>
  <si>
    <t>Service</t>
  </si>
  <si>
    <t>Payments</t>
  </si>
  <si>
    <t>Less Reduction of DSRF:</t>
  </si>
  <si>
    <t>Recycling Fund Coverage</t>
  </si>
  <si>
    <t>New Loans</t>
  </si>
  <si>
    <t>Maturity</t>
  </si>
  <si>
    <t>Recycling Fund Ending</t>
  </si>
  <si>
    <t>Beginning</t>
  </si>
  <si>
    <t>Ending</t>
  </si>
  <si>
    <t>Average</t>
  </si>
  <si>
    <t>Rate for</t>
  </si>
  <si>
    <t>Loan</t>
  </si>
  <si>
    <t>Fee for</t>
  </si>
  <si>
    <t xml:space="preserve">Spread </t>
  </si>
  <si>
    <t>over</t>
  </si>
  <si>
    <t>Test 1 Year</t>
  </si>
  <si>
    <t>Test 2 Year</t>
  </si>
  <si>
    <t>Test 3 Year</t>
  </si>
  <si>
    <t>Test 4 Year</t>
  </si>
  <si>
    <t>Test 5 Year</t>
  </si>
  <si>
    <t>DSRF</t>
  </si>
  <si>
    <t>Recycling</t>
  </si>
  <si>
    <t>Earnings</t>
  </si>
  <si>
    <t>Recycling Fund</t>
  </si>
  <si>
    <t>Investment</t>
  </si>
  <si>
    <t>Weighted</t>
  </si>
  <si>
    <t>Balance</t>
  </si>
  <si>
    <t>Origination</t>
  </si>
  <si>
    <t>Loans</t>
  </si>
  <si>
    <t>Originated</t>
  </si>
  <si>
    <t xml:space="preserve">Origination </t>
  </si>
  <si>
    <t>Fees</t>
  </si>
  <si>
    <t>Revenue</t>
  </si>
  <si>
    <t>Swap</t>
  </si>
  <si>
    <t>Debt Service</t>
  </si>
  <si>
    <t>Reserve Funds</t>
  </si>
  <si>
    <t>Investment Earnings</t>
  </si>
  <si>
    <t>Revenues</t>
  </si>
  <si>
    <t>Expenses</t>
  </si>
  <si>
    <t>Letter of</t>
  </si>
  <si>
    <t>Credit</t>
  </si>
  <si>
    <t>Bond</t>
  </si>
  <si>
    <t>Estimated Origination Fees</t>
  </si>
  <si>
    <t>Estimated Loan Interest Revenues</t>
  </si>
  <si>
    <t>Spread on</t>
  </si>
  <si>
    <t>Loan Rate</t>
  </si>
  <si>
    <t>Estimated Revenue Fund Cash Flow</t>
  </si>
  <si>
    <t>Assumed rates are shown in the red font.</t>
  </si>
  <si>
    <t>Fund</t>
  </si>
  <si>
    <t xml:space="preserve">Recycling </t>
  </si>
  <si>
    <t>Reserve</t>
  </si>
  <si>
    <t>Funds Available for Debt Service</t>
  </si>
  <si>
    <t>3-Month</t>
  </si>
  <si>
    <t>Invested</t>
  </si>
  <si>
    <t>Percentage</t>
  </si>
  <si>
    <t>of Debt Service</t>
  </si>
  <si>
    <t>Annual Coverage</t>
  </si>
  <si>
    <t>(1) Excess of annual revenues over administrative expenses and net swap payments.</t>
  </si>
  <si>
    <t>(3) Includes letter of credit and remarketing fees.</t>
  </si>
  <si>
    <t>Amount in</t>
  </si>
  <si>
    <t>Excess of</t>
  </si>
  <si>
    <t>Coverage</t>
  </si>
  <si>
    <t>Final Year</t>
  </si>
  <si>
    <t>Spread</t>
  </si>
  <si>
    <t>Average Term</t>
  </si>
  <si>
    <t>2018 Series</t>
  </si>
  <si>
    <t>1-Month</t>
  </si>
  <si>
    <t xml:space="preserve">Rate </t>
  </si>
  <si>
    <t>Assumptions</t>
  </si>
  <si>
    <t>Balances</t>
  </si>
  <si>
    <t>Recycling Earnings</t>
  </si>
  <si>
    <t>Revenue Earnings</t>
  </si>
  <si>
    <r>
      <t>Fund</t>
    </r>
    <r>
      <rPr>
        <sz val="10"/>
        <color theme="1"/>
        <rFont val="Arial"/>
        <family val="2"/>
      </rPr>
      <t xml:space="preserve"> (1)</t>
    </r>
  </si>
  <si>
    <r>
      <t>Fund</t>
    </r>
    <r>
      <rPr>
        <sz val="10"/>
        <color theme="1"/>
        <rFont val="Arial"/>
        <family val="2"/>
      </rPr>
      <t xml:space="preserve"> (2)</t>
    </r>
  </si>
  <si>
    <r>
      <t>Interest</t>
    </r>
    <r>
      <rPr>
        <sz val="10"/>
        <color theme="1"/>
        <rFont val="Arial"/>
        <family val="2"/>
      </rPr>
      <t xml:space="preserve"> (3)</t>
    </r>
  </si>
  <si>
    <t>2007 A Series</t>
  </si>
  <si>
    <t>2007 B Series</t>
  </si>
  <si>
    <t>2007 C1 Series</t>
  </si>
  <si>
    <t>2007 C2 Series</t>
  </si>
  <si>
    <t>Test 6 Year</t>
  </si>
  <si>
    <t>Leverage</t>
  </si>
  <si>
    <t>***</t>
  </si>
  <si>
    <t>Date</t>
  </si>
  <si>
    <t>3M LIBOR</t>
  </si>
  <si>
    <t>1M LIBOR</t>
  </si>
  <si>
    <t>Principal payments</t>
  </si>
  <si>
    <t>Total Principal</t>
  </si>
  <si>
    <t>Less DSRF</t>
  </si>
  <si>
    <t>Less Recycling Funds</t>
  </si>
  <si>
    <t>Maximum annual</t>
  </si>
  <si>
    <t>Par Amount</t>
  </si>
  <si>
    <t>Annual over</t>
  </si>
  <si>
    <t>(under) Bond</t>
  </si>
  <si>
    <t>Scenario</t>
  </si>
  <si>
    <t>Max Loans</t>
  </si>
  <si>
    <t>Net Bond Proceeds</t>
  </si>
  <si>
    <t>Loan Rates</t>
  </si>
  <si>
    <t>Loan Collection Rate:</t>
  </si>
  <si>
    <t>Collection Rate:</t>
  </si>
  <si>
    <t>Collection</t>
  </si>
  <si>
    <t>2020 B, C, and D Series</t>
  </si>
  <si>
    <t>2020 B Series</t>
  </si>
  <si>
    <t xml:space="preserve">Maturity </t>
  </si>
  <si>
    <t>Coupon or Index</t>
  </si>
  <si>
    <t>1997 B Series</t>
  </si>
  <si>
    <t>1997 C Series</t>
  </si>
  <si>
    <t>Payments per year</t>
  </si>
  <si>
    <t>Payments to principal</t>
  </si>
  <si>
    <t>Debt Service Reserve</t>
  </si>
  <si>
    <t>Overcollateralization</t>
  </si>
  <si>
    <t>1998 A Series</t>
  </si>
  <si>
    <t>2002 C Series</t>
  </si>
  <si>
    <t>Series</t>
  </si>
  <si>
    <t>Last year for Origination</t>
  </si>
  <si>
    <t>VRDB</t>
  </si>
  <si>
    <t>R-FLOATs</t>
  </si>
  <si>
    <t>2018 A Series</t>
  </si>
  <si>
    <t>2018 D Series</t>
  </si>
  <si>
    <t>2018 E Series</t>
  </si>
  <si>
    <t>2020 D Series</t>
  </si>
  <si>
    <t>Swap Termination</t>
  </si>
  <si>
    <t>GIC</t>
  </si>
  <si>
    <t>Total DSRF Earnings</t>
  </si>
  <si>
    <t>Available</t>
  </si>
  <si>
    <t>2020 BCD Series</t>
  </si>
  <si>
    <t>DSRF Draws</t>
  </si>
  <si>
    <t>Calculation of Investment Rate</t>
  </si>
  <si>
    <t xml:space="preserve">VRDB's </t>
  </si>
  <si>
    <t>Payor</t>
  </si>
  <si>
    <t>2021 A Series</t>
  </si>
  <si>
    <t>Issuance Year</t>
  </si>
  <si>
    <t>Estimated Coverage of Debt Service Payments</t>
  </si>
  <si>
    <t>2022 A Series</t>
  </si>
  <si>
    <t>2022 B Series</t>
  </si>
  <si>
    <t>2022 C Series</t>
  </si>
  <si>
    <t>Notional Amount</t>
  </si>
  <si>
    <t>SOFR</t>
  </si>
  <si>
    <t>2022 ABC Series</t>
  </si>
  <si>
    <t>2022 D Series</t>
  </si>
  <si>
    <t>2022 E Series</t>
  </si>
  <si>
    <t>Master Series</t>
  </si>
  <si>
    <t>SOFR (3)</t>
  </si>
  <si>
    <t>(3)  Percentage of SIFMA to SOFR:</t>
  </si>
  <si>
    <t>Payment</t>
  </si>
  <si>
    <t>Reconciliation</t>
  </si>
  <si>
    <t>Total Receipts</t>
  </si>
  <si>
    <t xml:space="preserve">Notioal </t>
  </si>
  <si>
    <t>Total Payments</t>
  </si>
  <si>
    <t>Swap Receipts</t>
  </si>
  <si>
    <t>Swap Payments</t>
  </si>
  <si>
    <t>DSRF Earnings</t>
  </si>
  <si>
    <t>Rate Calculation</t>
  </si>
  <si>
    <t>Estimated Debt Service, Swap Payments, DSRF Earnings, and Recycling Earnings Rate Calculation</t>
  </si>
  <si>
    <t>Scenario:</t>
  </si>
  <si>
    <t xml:space="preserve">Notional </t>
  </si>
  <si>
    <t>Future</t>
  </si>
  <si>
    <t>"Goal seek" cell C75 to 0 by changing C74 to find the constant default rate that results in 100% coverage at the final maturity.</t>
  </si>
  <si>
    <t>Coverage Percentage if</t>
  </si>
  <si>
    <t>2022 DE Series</t>
  </si>
  <si>
    <t>2023 Series</t>
  </si>
  <si>
    <t>2025 Series</t>
  </si>
  <si>
    <t>2027 Series</t>
  </si>
  <si>
    <t>(4) Assumes the SIFMA Index changes in straight-line increments.</t>
  </si>
  <si>
    <t>(2) Recycling Fund deposits before origination of Loans. Includes proceeds of new bond issues and over-collateralization of $46,728,250.</t>
  </si>
  <si>
    <r>
      <t>Term SOFR</t>
    </r>
    <r>
      <rPr>
        <sz val="10"/>
        <rFont val="Arial"/>
        <family val="2"/>
      </rPr>
      <t xml:space="preserve"> (1)</t>
    </r>
  </si>
  <si>
    <r>
      <t>Term SOFR</t>
    </r>
    <r>
      <rPr>
        <sz val="10"/>
        <rFont val="Arial"/>
        <family val="2"/>
      </rPr>
      <t xml:space="preserve"> (2)</t>
    </r>
  </si>
  <si>
    <t>(1)  Percentage of SIFMA to 1M Term SOFR:</t>
  </si>
  <si>
    <t>(2)  Percentage of SIFMA to 3M Term SOFR:</t>
  </si>
  <si>
    <t>1M Term</t>
  </si>
  <si>
    <t>3M Term</t>
  </si>
  <si>
    <t>Reduction</t>
  </si>
  <si>
    <t>2026 Series</t>
  </si>
  <si>
    <t>Scheduled Retirement of Debt after issuance of new Series</t>
  </si>
  <si>
    <t>Scheduled Retirement of Debt after the 2023 A Bonds</t>
  </si>
  <si>
    <t>Run-off Debt after the 2023 A Bonds</t>
  </si>
  <si>
    <r>
      <t xml:space="preserve">SIFMA in 2034 equals </t>
    </r>
    <r>
      <rPr>
        <sz val="10"/>
        <rFont val="Arial"/>
        <family val="2"/>
      </rPr>
      <t>(4)</t>
    </r>
    <r>
      <rPr>
        <b/>
        <sz val="10"/>
        <rFont val="Arial"/>
        <family val="2"/>
      </rPr>
      <t>:</t>
    </r>
  </si>
  <si>
    <t>2024 Series</t>
  </si>
  <si>
    <t>SIFMA Index in 2034 Equals: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</si>
</sst>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  <numFmt numFmtId="167" formatCode="[$-409]dd\-mmm\-yy;@"/>
    <numFmt numFmtId="168" formatCode="0.0000%"/>
    <numFmt numFmtId="169" formatCode="0.0000"/>
    <numFmt numFmtId="170" formatCode="[$-409]d\-mmm\-yy;@"/>
  </numFmts>
  <fonts count="46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3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  <font>
      <u val="doubleAccounting"/>
      <sz val="10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u val="singleAccounting"/>
      <sz val="10"/>
      <color theme="1"/>
      <name val="Arial"/>
      <family val="2"/>
    </font>
    <font>
      <sz val="4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color rgb="FF0000FF"/>
      <name val="Arial"/>
      <family val="2"/>
    </font>
    <font>
      <i/>
      <u/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4"/>
      <color theme="1"/>
      <name val="Arial"/>
      <family val="2"/>
    </font>
    <font>
      <u val="singleAccounting"/>
      <sz val="10"/>
      <color rgb="FF0070C0"/>
      <name val="Arial"/>
      <family val="2"/>
    </font>
    <font>
      <sz val="3"/>
      <color theme="1"/>
      <name val="Arial"/>
      <family val="2"/>
    </font>
    <font>
      <u val="doubleAccounting"/>
      <sz val="3"/>
      <color theme="1"/>
      <name val="Arial"/>
      <family val="2"/>
    </font>
    <font>
      <b/>
      <sz val="3"/>
      <color theme="1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0"/>
      <color rgb="FFFF0000"/>
      <name val="Arial"/>
      <family val="2"/>
    </font>
    <font>
      <b/>
      <sz val="14"/>
      <name val="Arial"/>
      <family val="2"/>
    </font>
    <font>
      <b/>
      <sz val="3"/>
      <name val="Arial"/>
      <family val="2"/>
    </font>
    <font>
      <i/>
      <u/>
      <sz val="10"/>
      <color rgb="FF007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5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left"/>
    </xf>
    <xf numFmtId="10" fontId="6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0" fontId="0" fillId="0" borderId="0" xfId="3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/>
    <xf numFmtId="164" fontId="0" fillId="0" borderId="0" xfId="2" applyNumberFormat="1" applyFont="1"/>
    <xf numFmtId="165" fontId="0" fillId="0" borderId="0" xfId="1" applyNumberFormat="1" applyFont="1"/>
    <xf numFmtId="10" fontId="11" fillId="0" borderId="0" xfId="0" applyNumberFormat="1" applyFont="1" applyAlignment="1">
      <alignment horizontal="center"/>
    </xf>
    <xf numFmtId="10" fontId="11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3" applyNumberFormat="1" applyFont="1" applyAlignment="1">
      <alignment horizontal="center"/>
    </xf>
    <xf numFmtId="169" fontId="0" fillId="0" borderId="0" xfId="0" applyNumberForma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9" fontId="0" fillId="0" borderId="0" xfId="3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9" fontId="0" fillId="0" borderId="0" xfId="3" applyFont="1" applyFill="1" applyAlignment="1">
      <alignment horizontal="center"/>
    </xf>
    <xf numFmtId="165" fontId="0" fillId="0" borderId="0" xfId="0" applyNumberFormat="1"/>
    <xf numFmtId="165" fontId="17" fillId="0" borderId="0" xfId="1" applyNumberFormat="1" applyFont="1" applyAlignment="1">
      <alignment horizontal="center"/>
    </xf>
    <xf numFmtId="43" fontId="11" fillId="0" borderId="0" xfId="1" applyFont="1"/>
    <xf numFmtId="0" fontId="18" fillId="0" borderId="0" xfId="0" applyFont="1"/>
    <xf numFmtId="0" fontId="19" fillId="0" borderId="0" xfId="0" applyFont="1"/>
    <xf numFmtId="164" fontId="6" fillId="0" borderId="0" xfId="2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right"/>
    </xf>
    <xf numFmtId="164" fontId="19" fillId="0" borderId="0" xfId="0" applyNumberFormat="1" applyFont="1"/>
    <xf numFmtId="0" fontId="6" fillId="0" borderId="0" xfId="0" applyFont="1" applyAlignment="1">
      <alignment horizontal="right"/>
    </xf>
    <xf numFmtId="164" fontId="21" fillId="0" borderId="0" xfId="2" applyNumberFormat="1" applyFont="1" applyAlignment="1">
      <alignment horizontal="right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5" fontId="0" fillId="0" borderId="0" xfId="1" applyNumberFormat="1" applyFont="1" applyFill="1"/>
    <xf numFmtId="165" fontId="17" fillId="0" borderId="0" xfId="1" applyNumberFormat="1" applyFont="1"/>
    <xf numFmtId="165" fontId="17" fillId="0" borderId="0" xfId="1" applyNumberFormat="1" applyFont="1" applyFill="1"/>
    <xf numFmtId="0" fontId="6" fillId="2" borderId="0" xfId="0" applyFont="1" applyFill="1" applyAlignment="1">
      <alignment horizontal="center"/>
    </xf>
    <xf numFmtId="165" fontId="17" fillId="0" borderId="0" xfId="0" applyNumberFormat="1" applyFont="1"/>
    <xf numFmtId="165" fontId="22" fillId="0" borderId="0" xfId="1" applyNumberFormat="1" applyFont="1"/>
    <xf numFmtId="165" fontId="11" fillId="0" borderId="0" xfId="1" applyNumberFormat="1" applyFont="1"/>
    <xf numFmtId="0" fontId="6" fillId="0" borderId="0" xfId="0" applyFont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5" fontId="24" fillId="0" borderId="0" xfId="1" applyNumberFormat="1" applyFont="1"/>
    <xf numFmtId="165" fontId="24" fillId="0" borderId="0" xfId="1" applyNumberFormat="1" applyFont="1" applyFill="1"/>
    <xf numFmtId="165" fontId="24" fillId="0" borderId="0" xfId="0" applyNumberFormat="1" applyFont="1"/>
    <xf numFmtId="0" fontId="24" fillId="0" borderId="0" xfId="0" applyFont="1"/>
    <xf numFmtId="165" fontId="22" fillId="0" borderId="0" xfId="1" applyNumberFormat="1" applyFont="1" applyFill="1"/>
    <xf numFmtId="165" fontId="25" fillId="0" borderId="0" xfId="1" applyNumberFormat="1" applyFont="1"/>
    <xf numFmtId="165" fontId="6" fillId="0" borderId="0" xfId="1" applyNumberFormat="1" applyFont="1"/>
    <xf numFmtId="165" fontId="26" fillId="0" borderId="0" xfId="1" applyNumberFormat="1" applyFont="1"/>
    <xf numFmtId="165" fontId="26" fillId="0" borderId="0" xfId="1" applyNumberFormat="1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165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/>
    <xf numFmtId="0" fontId="11" fillId="0" borderId="0" xfId="0" applyFont="1"/>
    <xf numFmtId="0" fontId="27" fillId="3" borderId="0" xfId="0" applyFont="1" applyFill="1"/>
    <xf numFmtId="167" fontId="5" fillId="2" borderId="0" xfId="0" applyNumberFormat="1" applyFont="1" applyFill="1" applyAlignment="1">
      <alignment horizontal="center"/>
    </xf>
    <xf numFmtId="167" fontId="5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165" fontId="11" fillId="0" borderId="0" xfId="0" applyNumberFormat="1" applyFont="1"/>
    <xf numFmtId="164" fontId="6" fillId="0" borderId="0" xfId="2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20" fillId="0" borderId="0" xfId="1" applyNumberFormat="1" applyFont="1" applyAlignment="1">
      <alignment horizontal="center"/>
    </xf>
    <xf numFmtId="166" fontId="6" fillId="0" borderId="0" xfId="3" applyNumberFormat="1" applyFont="1" applyAlignment="1">
      <alignment horizontal="center"/>
    </xf>
    <xf numFmtId="168" fontId="6" fillId="0" borderId="0" xfId="3" applyNumberFormat="1" applyFont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5" fontId="6" fillId="0" borderId="0" xfId="0" applyNumberFormat="1" applyFont="1"/>
    <xf numFmtId="0" fontId="1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2" borderId="0" xfId="0" applyFont="1" applyFill="1" applyAlignment="1">
      <alignment horizontal="center"/>
    </xf>
    <xf numFmtId="164" fontId="0" fillId="0" borderId="0" xfId="0" applyNumberFormat="1"/>
    <xf numFmtId="170" fontId="0" fillId="0" borderId="0" xfId="0" applyNumberFormat="1" applyAlignment="1">
      <alignment horizontal="center"/>
    </xf>
    <xf numFmtId="10" fontId="6" fillId="0" borderId="0" xfId="3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right"/>
    </xf>
    <xf numFmtId="165" fontId="21" fillId="0" borderId="0" xfId="1" applyNumberFormat="1" applyFont="1" applyAlignment="1">
      <alignment horizontal="right"/>
    </xf>
    <xf numFmtId="165" fontId="21" fillId="0" borderId="0" xfId="1" applyNumberFormat="1" applyFont="1" applyFill="1" applyAlignment="1">
      <alignment horizontal="right"/>
    </xf>
    <xf numFmtId="168" fontId="0" fillId="0" borderId="0" xfId="3" applyNumberFormat="1" applyFont="1" applyAlignment="1">
      <alignment horizontal="center"/>
    </xf>
    <xf numFmtId="0" fontId="0" fillId="2" borderId="0" xfId="0" applyFill="1" applyAlignment="1">
      <alignment horizontal="left" indent="2"/>
    </xf>
    <xf numFmtId="0" fontId="6" fillId="2" borderId="0" xfId="0" applyFont="1" applyFill="1" applyAlignment="1">
      <alignment horizontal="left"/>
    </xf>
    <xf numFmtId="165" fontId="30" fillId="0" borderId="0" xfId="0" applyNumberFormat="1" applyFont="1"/>
    <xf numFmtId="165" fontId="32" fillId="0" borderId="0" xfId="0" applyNumberFormat="1" applyFont="1"/>
    <xf numFmtId="0" fontId="9" fillId="0" borderId="0" xfId="0" applyFont="1" applyAlignment="1">
      <alignment horizontal="left"/>
    </xf>
    <xf numFmtId="10" fontId="9" fillId="0" borderId="0" xfId="3" applyNumberFormat="1" applyFont="1" applyAlignment="1">
      <alignment horizontal="center"/>
    </xf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right"/>
    </xf>
    <xf numFmtId="165" fontId="9" fillId="0" borderId="0" xfId="1" applyNumberFormat="1" applyFont="1" applyFill="1" applyAlignment="1">
      <alignment horizontal="right"/>
    </xf>
    <xf numFmtId="166" fontId="9" fillId="0" borderId="0" xfId="3" applyNumberFormat="1" applyFont="1" applyFill="1" applyAlignment="1">
      <alignment horizontal="right"/>
    </xf>
    <xf numFmtId="166" fontId="9" fillId="0" borderId="0" xfId="3" applyNumberFormat="1" applyFont="1" applyAlignment="1">
      <alignment horizontal="center"/>
    </xf>
    <xf numFmtId="165" fontId="9" fillId="0" borderId="0" xfId="1" applyNumberFormat="1" applyFont="1"/>
    <xf numFmtId="164" fontId="9" fillId="0" borderId="0" xfId="2" applyNumberFormat="1" applyFont="1" applyAlignment="1">
      <alignment horizontal="right"/>
    </xf>
    <xf numFmtId="165" fontId="30" fillId="0" borderId="0" xfId="1" applyNumberFormat="1" applyFont="1" applyAlignment="1">
      <alignment horizontal="right"/>
    </xf>
    <xf numFmtId="0" fontId="33" fillId="2" borderId="0" xfId="0" applyFont="1" applyFill="1" applyAlignment="1">
      <alignment horizontal="center"/>
    </xf>
    <xf numFmtId="0" fontId="33" fillId="0" borderId="0" xfId="0" applyFont="1"/>
    <xf numFmtId="165" fontId="33" fillId="0" borderId="0" xfId="1" applyNumberFormat="1" applyFont="1"/>
    <xf numFmtId="165" fontId="33" fillId="0" borderId="0" xfId="1" applyNumberFormat="1" applyFont="1" applyFill="1"/>
    <xf numFmtId="0" fontId="0" fillId="4" borderId="0" xfId="0" applyFill="1"/>
    <xf numFmtId="0" fontId="2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164" fontId="34" fillId="0" borderId="0" xfId="0" applyNumberFormat="1" applyFont="1"/>
    <xf numFmtId="165" fontId="11" fillId="6" borderId="0" xfId="1" applyNumberFormat="1" applyFont="1" applyFill="1"/>
    <xf numFmtId="165" fontId="6" fillId="0" borderId="0" xfId="1" applyNumberFormat="1" applyFont="1" applyFill="1"/>
    <xf numFmtId="165" fontId="33" fillId="0" borderId="0" xfId="1" applyNumberFormat="1" applyFont="1" applyFill="1" applyAlignment="1">
      <alignment horizontal="center"/>
    </xf>
    <xf numFmtId="0" fontId="35" fillId="0" borderId="0" xfId="0" applyFont="1" applyAlignment="1">
      <alignment horizontal="center"/>
    </xf>
    <xf numFmtId="9" fontId="33" fillId="0" borderId="0" xfId="3" applyFont="1" applyFill="1" applyAlignment="1">
      <alignment horizontal="center"/>
    </xf>
    <xf numFmtId="166" fontId="30" fillId="0" borderId="0" xfId="3" applyNumberFormat="1" applyFont="1" applyAlignment="1">
      <alignment horizontal="center"/>
    </xf>
    <xf numFmtId="166" fontId="11" fillId="6" borderId="0" xfId="0" applyNumberFormat="1" applyFont="1" applyFill="1" applyAlignment="1">
      <alignment horizontal="center"/>
    </xf>
    <xf numFmtId="166" fontId="0" fillId="0" borderId="0" xfId="0" applyNumberFormat="1"/>
    <xf numFmtId="43" fontId="0" fillId="0" borderId="0" xfId="0" applyNumberFormat="1"/>
    <xf numFmtId="0" fontId="10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165" fontId="1" fillId="0" borderId="0" xfId="1" applyNumberFormat="1" applyFont="1"/>
    <xf numFmtId="43" fontId="0" fillId="0" borderId="0" xfId="1" applyFont="1"/>
    <xf numFmtId="0" fontId="0" fillId="6" borderId="0" xfId="0" applyFill="1" applyAlignment="1">
      <alignment horizontal="center"/>
    </xf>
    <xf numFmtId="0" fontId="8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65" fontId="1" fillId="5" borderId="0" xfId="1" applyNumberFormat="1" applyFont="1" applyFill="1"/>
    <xf numFmtId="0" fontId="0" fillId="5" borderId="0" xfId="0" applyFill="1"/>
    <xf numFmtId="166" fontId="0" fillId="5" borderId="0" xfId="3" applyNumberFormat="1" applyFon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68" fontId="30" fillId="0" borderId="0" xfId="3" applyNumberFormat="1" applyFont="1" applyAlignment="1">
      <alignment horizontal="center"/>
    </xf>
    <xf numFmtId="165" fontId="11" fillId="0" borderId="0" xfId="1" applyNumberFormat="1" applyFont="1" applyFill="1" applyAlignment="1">
      <alignment horizontal="right"/>
    </xf>
    <xf numFmtId="166" fontId="0" fillId="0" borderId="0" xfId="3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/>
    <xf numFmtId="166" fontId="11" fillId="0" borderId="0" xfId="3" applyNumberFormat="1" applyFont="1" applyFill="1" applyAlignment="1">
      <alignment horizontal="center"/>
    </xf>
    <xf numFmtId="170" fontId="11" fillId="0" borderId="0" xfId="0" applyNumberFormat="1" applyFont="1" applyAlignment="1">
      <alignment horizontal="center"/>
    </xf>
    <xf numFmtId="0" fontId="8" fillId="8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10" fontId="30" fillId="0" borderId="0" xfId="3" applyNumberFormat="1" applyFont="1" applyAlignment="1">
      <alignment horizontal="center"/>
    </xf>
    <xf numFmtId="0" fontId="8" fillId="9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0" fontId="18" fillId="12" borderId="0" xfId="0" applyFont="1" applyFill="1"/>
    <xf numFmtId="0" fontId="8" fillId="12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8" fillId="9" borderId="0" xfId="0" applyFont="1" applyFill="1"/>
    <xf numFmtId="0" fontId="10" fillId="13" borderId="0" xfId="0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43" fontId="6" fillId="0" borderId="0" xfId="1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65" fontId="6" fillId="0" borderId="0" xfId="3" applyNumberFormat="1" applyFont="1" applyAlignment="1">
      <alignment horizontal="center"/>
    </xf>
    <xf numFmtId="0" fontId="8" fillId="14" borderId="0" xfId="0" applyFont="1" applyFill="1" applyAlignment="1">
      <alignment horizontal="center"/>
    </xf>
    <xf numFmtId="10" fontId="11" fillId="0" borderId="0" xfId="3" applyNumberFormat="1" applyFont="1" applyFill="1" applyAlignment="1">
      <alignment horizontal="center"/>
    </xf>
    <xf numFmtId="165" fontId="19" fillId="0" borderId="0" xfId="0" applyNumberFormat="1" applyFont="1"/>
    <xf numFmtId="0" fontId="7" fillId="1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39" fillId="0" borderId="0" xfId="0" applyFont="1"/>
    <xf numFmtId="0" fontId="40" fillId="0" borderId="0" xfId="0" applyFont="1" applyAlignment="1">
      <alignment horizontal="center"/>
    </xf>
    <xf numFmtId="0" fontId="41" fillId="0" borderId="0" xfId="0" applyFont="1"/>
    <xf numFmtId="0" fontId="10" fillId="14" borderId="0" xfId="0" applyFont="1" applyFill="1" applyAlignment="1">
      <alignment horizontal="center"/>
    </xf>
    <xf numFmtId="0" fontId="38" fillId="5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170" fontId="11" fillId="5" borderId="0" xfId="0" applyNumberFormat="1" applyFont="1" applyFill="1" applyAlignment="1">
      <alignment horizontal="center"/>
    </xf>
    <xf numFmtId="170" fontId="6" fillId="0" borderId="0" xfId="0" applyNumberFormat="1" applyFont="1" applyAlignment="1">
      <alignment horizontal="center"/>
    </xf>
    <xf numFmtId="166" fontId="9" fillId="0" borderId="0" xfId="3" applyNumberFormat="1" applyFont="1" applyFill="1" applyAlignment="1">
      <alignment horizontal="center"/>
    </xf>
    <xf numFmtId="164" fontId="21" fillId="0" borderId="0" xfId="2" applyNumberFormat="1" applyFont="1" applyFill="1" applyAlignment="1">
      <alignment horizontal="right"/>
    </xf>
    <xf numFmtId="164" fontId="11" fillId="0" borderId="0" xfId="2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164" fontId="30" fillId="0" borderId="0" xfId="2" applyNumberFormat="1" applyFont="1" applyFill="1" applyAlignment="1">
      <alignment horizontal="center"/>
    </xf>
    <xf numFmtId="166" fontId="30" fillId="0" borderId="0" xfId="3" applyNumberFormat="1" applyFont="1" applyFill="1" applyAlignment="1">
      <alignment horizontal="center"/>
    </xf>
    <xf numFmtId="0" fontId="37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0" fillId="13" borderId="0" xfId="0" applyFill="1"/>
    <xf numFmtId="0" fontId="4" fillId="0" borderId="0" xfId="0" applyFont="1"/>
    <xf numFmtId="165" fontId="30" fillId="0" borderId="0" xfId="1" applyNumberFormat="1" applyFont="1" applyFill="1"/>
    <xf numFmtId="164" fontId="11" fillId="0" borderId="0" xfId="0" applyNumberFormat="1" applyFont="1"/>
    <xf numFmtId="165" fontId="42" fillId="0" borderId="0" xfId="0" applyNumberFormat="1" applyFont="1"/>
    <xf numFmtId="0" fontId="8" fillId="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165" fontId="11" fillId="0" borderId="0" xfId="1" applyNumberFormat="1" applyFont="1" applyFill="1" applyAlignment="1"/>
    <xf numFmtId="166" fontId="0" fillId="4" borderId="0" xfId="3" applyNumberFormat="1" applyFont="1" applyFill="1" applyAlignment="1">
      <alignment horizontal="center"/>
    </xf>
    <xf numFmtId="165" fontId="26" fillId="0" borderId="0" xfId="1" applyNumberFormat="1" applyFont="1" applyFill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1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14" borderId="0" xfId="0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9" fontId="0" fillId="4" borderId="0" xfId="3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indent="2"/>
    </xf>
    <xf numFmtId="0" fontId="30" fillId="0" borderId="0" xfId="0" applyFont="1" applyAlignment="1">
      <alignment horizontal="left"/>
    </xf>
    <xf numFmtId="165" fontId="30" fillId="6" borderId="0" xfId="1" applyNumberFormat="1" applyFont="1" applyFill="1"/>
    <xf numFmtId="0" fontId="45" fillId="4" borderId="0" xfId="0" applyFont="1" applyFill="1" applyAlignment="1">
      <alignment horizontal="center"/>
    </xf>
    <xf numFmtId="164" fontId="30" fillId="0" borderId="0" xfId="2" applyNumberFormat="1" applyFont="1" applyAlignment="1">
      <alignment horizontal="right"/>
    </xf>
    <xf numFmtId="165" fontId="11" fillId="0" borderId="0" xfId="3" applyNumberFormat="1" applyFont="1" applyAlignment="1">
      <alignment horizontal="center"/>
    </xf>
    <xf numFmtId="10" fontId="4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11" fillId="6" borderId="0" xfId="0" applyFont="1" applyFill="1" applyAlignment="1">
      <alignment horizontal="left"/>
    </xf>
    <xf numFmtId="165" fontId="11" fillId="0" borderId="0" xfId="1" applyNumberFormat="1" applyFont="1"/>
    <xf numFmtId="0" fontId="0" fillId="0" borderId="0" xfId="0" applyAlignment="1">
      <alignment horizontal="right"/>
    </xf>
    <xf numFmtId="0" fontId="11" fillId="0" borderId="0" xfId="0" applyFont="1"/>
    <xf numFmtId="0" fontId="3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3" fillId="0" borderId="0" xfId="0" applyFont="1"/>
    <xf numFmtId="0" fontId="4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4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13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38" fillId="5" borderId="0" xfId="0" applyFont="1" applyFill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0" borderId="0" xfId="0" applyAlignment="1">
      <alignment horizontal="left" indent="2"/>
    </xf>
    <xf numFmtId="0" fontId="8" fillId="2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13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6" borderId="0" xfId="0" applyFill="1"/>
    <xf numFmtId="0" fontId="10" fillId="4" borderId="0" xfId="0" applyFont="1" applyFill="1" applyAlignment="1">
      <alignment horizontal="center"/>
    </xf>
    <xf numFmtId="0" fontId="10" fillId="14" borderId="0" xfId="0" applyFont="1" applyFill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/>
    <xf numFmtId="165" fontId="17" fillId="4" borderId="0" xfId="1" applyNumberFormat="1" applyFont="1" applyFill="1" applyAlignment="1">
      <alignment horizontal="center"/>
    </xf>
  </cellXfs>
  <cellStyles count="75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workbookViewId="0">
      <pane xSplit="1" ySplit="6" topLeftCell="B8" activePane="bottomRight" state="frozen"/>
      <selection pane="topRight" activeCell="B1" sqref="B1"/>
      <selection pane="bottomLeft" activeCell="A7" sqref="A7"/>
      <selection pane="bottomRight" activeCell="D18" sqref="D18"/>
    </sheetView>
  </sheetViews>
  <sheetFormatPr baseColWidth="10" defaultRowHeight="13"/>
  <cols>
    <col min="1" max="1" width="5.1640625" bestFit="1" customWidth="1"/>
    <col min="2" max="2" width="13" bestFit="1" customWidth="1"/>
    <col min="3" max="3" width="13.6640625" bestFit="1" customWidth="1"/>
    <col min="4" max="4" width="6.5" bestFit="1" customWidth="1"/>
    <col min="5" max="5" width="8.33203125" bestFit="1" customWidth="1"/>
    <col min="6" max="6" width="10.83203125" bestFit="1" customWidth="1"/>
    <col min="7" max="7" width="7.33203125" bestFit="1" customWidth="1"/>
    <col min="8" max="8" width="10.83203125" bestFit="1" customWidth="1"/>
    <col min="9" max="9" width="3" customWidth="1"/>
    <col min="10" max="10" width="7.1640625" bestFit="1" customWidth="1"/>
    <col min="11" max="11" width="11.1640625" bestFit="1" customWidth="1"/>
    <col min="12" max="12" width="3.1640625" bestFit="1" customWidth="1"/>
    <col min="13" max="13" width="10.33203125" bestFit="1" customWidth="1"/>
    <col min="14" max="14" width="3.1640625" bestFit="1" customWidth="1"/>
    <col min="15" max="16" width="9.6640625" bestFit="1" customWidth="1"/>
  </cols>
  <sheetData>
    <row r="1" spans="1:16">
      <c r="A1" s="10">
        <f>1</f>
        <v>1</v>
      </c>
      <c r="B1" s="10">
        <f t="shared" ref="B1" si="0">A1+1</f>
        <v>2</v>
      </c>
      <c r="C1" s="10">
        <f t="shared" ref="C1" si="1">B1+1</f>
        <v>3</v>
      </c>
      <c r="D1" s="10">
        <f t="shared" ref="D1" si="2">C1+1</f>
        <v>4</v>
      </c>
      <c r="E1" s="10">
        <f t="shared" ref="E1:K1" si="3">D1+1</f>
        <v>5</v>
      </c>
      <c r="F1" s="10">
        <f t="shared" si="3"/>
        <v>6</v>
      </c>
      <c r="G1" s="10">
        <f t="shared" si="3"/>
        <v>7</v>
      </c>
      <c r="H1" s="10">
        <f t="shared" si="3"/>
        <v>8</v>
      </c>
      <c r="I1" s="10">
        <f t="shared" si="3"/>
        <v>9</v>
      </c>
      <c r="J1" s="10">
        <f t="shared" si="3"/>
        <v>10</v>
      </c>
      <c r="K1" s="10">
        <f t="shared" si="3"/>
        <v>11</v>
      </c>
      <c r="L1" s="10">
        <f t="shared" ref="L1" si="4">K1+1</f>
        <v>12</v>
      </c>
      <c r="M1" s="10">
        <f t="shared" ref="M1" si="5">L1+1</f>
        <v>13</v>
      </c>
      <c r="N1" s="10">
        <f t="shared" ref="N1" si="6">M1+1</f>
        <v>14</v>
      </c>
      <c r="O1" s="10">
        <f t="shared" ref="O1:P1" si="7">N1+1</f>
        <v>15</v>
      </c>
      <c r="P1" s="10">
        <f t="shared" si="7"/>
        <v>16</v>
      </c>
    </row>
    <row r="2" spans="1:16" s="107" customFormat="1" ht="7"/>
    <row r="3" spans="1:16">
      <c r="F3" s="220"/>
      <c r="G3" s="220"/>
      <c r="H3" s="220"/>
      <c r="J3" s="221" t="s">
        <v>129</v>
      </c>
      <c r="K3" s="221"/>
    </row>
    <row r="4" spans="1:16">
      <c r="F4" s="221" t="s">
        <v>160</v>
      </c>
      <c r="G4" s="221"/>
      <c r="H4" s="221"/>
      <c r="J4" s="1" t="s">
        <v>46</v>
      </c>
      <c r="K4" s="1" t="s">
        <v>43</v>
      </c>
    </row>
    <row r="5" spans="1:16">
      <c r="A5" s="2"/>
      <c r="B5" s="3" t="s">
        <v>99</v>
      </c>
      <c r="C5" s="3" t="s">
        <v>85</v>
      </c>
      <c r="D5" s="1" t="s">
        <v>16</v>
      </c>
      <c r="E5" s="1"/>
      <c r="F5" s="1" t="s">
        <v>18</v>
      </c>
      <c r="G5" s="1" t="s">
        <v>72</v>
      </c>
      <c r="H5" s="1" t="s">
        <v>45</v>
      </c>
      <c r="I5" s="3"/>
      <c r="J5" s="1" t="s">
        <v>47</v>
      </c>
      <c r="K5" s="1" t="s">
        <v>66</v>
      </c>
      <c r="M5" s="3" t="s">
        <v>63</v>
      </c>
      <c r="O5" s="3" t="s">
        <v>77</v>
      </c>
      <c r="P5" s="3"/>
    </row>
    <row r="6" spans="1:16">
      <c r="A6" s="4" t="s">
        <v>4</v>
      </c>
      <c r="B6" s="5" t="s">
        <v>197</v>
      </c>
      <c r="C6" s="5" t="s">
        <v>198</v>
      </c>
      <c r="D6" s="5" t="s">
        <v>17</v>
      </c>
      <c r="E6" s="5" t="s">
        <v>174</v>
      </c>
      <c r="F6" s="5" t="s">
        <v>16</v>
      </c>
      <c r="G6" s="5" t="s">
        <v>73</v>
      </c>
      <c r="H6" s="5" t="s">
        <v>19</v>
      </c>
      <c r="I6" s="5"/>
      <c r="J6" s="5" t="s">
        <v>16</v>
      </c>
      <c r="K6" s="5" t="s">
        <v>161</v>
      </c>
      <c r="M6" s="5" t="s">
        <v>64</v>
      </c>
      <c r="O6" s="5" t="s">
        <v>78</v>
      </c>
      <c r="P6" s="5" t="s">
        <v>78</v>
      </c>
    </row>
    <row r="7" spans="1:16" s="107" customFormat="1" ht="7">
      <c r="A7" s="6"/>
      <c r="B7" s="6"/>
      <c r="C7" s="6"/>
      <c r="I7" s="6"/>
      <c r="M7" s="6"/>
    </row>
    <row r="8" spans="1:16">
      <c r="A8" s="81">
        <v>2024</v>
      </c>
      <c r="B8" s="86">
        <f t="shared" ref="B8:B44" si="8">ROUND(D8/E$46, 4)</f>
        <v>5.3800000000000001E-2</v>
      </c>
      <c r="C8" s="8">
        <f t="shared" ref="C8:C44" si="9">ROUND(D8/E$47,4)</f>
        <v>5.3800000000000001E-2</v>
      </c>
      <c r="D8" s="167">
        <v>3.5000000000000003E-2</v>
      </c>
      <c r="E8" s="8">
        <f t="shared" ref="E8:E44" si="10">ROUND($D8/$E$48,4)</f>
        <v>5.2999999999999999E-2</v>
      </c>
      <c r="F8" s="17">
        <v>0</v>
      </c>
      <c r="G8" s="17">
        <v>3.0000000000000001E-3</v>
      </c>
      <c r="H8" s="17">
        <v>8.0000000000000004E-4</v>
      </c>
      <c r="I8" s="17"/>
      <c r="J8" s="17">
        <v>1.4999999999999999E-2</v>
      </c>
      <c r="K8" s="16">
        <v>0.05</v>
      </c>
      <c r="L8" s="68"/>
      <c r="M8" s="16">
        <v>1E-3</v>
      </c>
      <c r="N8" s="68"/>
      <c r="O8" s="16">
        <v>5.0000000000000001E-3</v>
      </c>
      <c r="P8" s="16">
        <v>5.5E-2</v>
      </c>
    </row>
    <row r="9" spans="1:16">
      <c r="A9" s="7">
        <f t="shared" ref="A9:A44" si="11">A8+1</f>
        <v>2025</v>
      </c>
      <c r="B9" s="86">
        <f t="shared" si="8"/>
        <v>5.3800000000000001E-2</v>
      </c>
      <c r="C9" s="8">
        <f t="shared" si="9"/>
        <v>5.3800000000000001E-2</v>
      </c>
      <c r="D9" s="86">
        <f>ROUND(D8+(D$18-D$8)/10, 4)</f>
        <v>3.5000000000000003E-2</v>
      </c>
      <c r="E9" s="8">
        <f t="shared" si="10"/>
        <v>5.2999999999999999E-2</v>
      </c>
      <c r="F9" s="8">
        <f t="shared" ref="F9:F13" si="12">F8</f>
        <v>0</v>
      </c>
      <c r="G9" s="8">
        <f t="shared" ref="G9:G13" si="13">G8</f>
        <v>3.0000000000000001E-3</v>
      </c>
      <c r="H9" s="8">
        <f t="shared" ref="H9:H44" si="14">H8</f>
        <v>8.0000000000000004E-4</v>
      </c>
      <c r="I9" s="8"/>
      <c r="J9" s="11">
        <f t="shared" ref="J9:J18" si="15">J8</f>
        <v>1.4999999999999999E-2</v>
      </c>
      <c r="K9" s="9">
        <f t="shared" ref="K9:K44" si="16">D9+J9</f>
        <v>0.05</v>
      </c>
      <c r="M9" s="9">
        <f t="shared" ref="M9:M44" si="17">M8</f>
        <v>1E-3</v>
      </c>
      <c r="O9" s="9">
        <f t="shared" ref="O9:O44" si="18">O8</f>
        <v>5.0000000000000001E-3</v>
      </c>
      <c r="P9" s="9">
        <f t="shared" ref="P9:P44" si="19">O9+K9</f>
        <v>5.5E-2</v>
      </c>
    </row>
    <row r="10" spans="1:16">
      <c r="A10" s="7">
        <f t="shared" si="11"/>
        <v>2026</v>
      </c>
      <c r="B10" s="86">
        <f t="shared" si="8"/>
        <v>5.3800000000000001E-2</v>
      </c>
      <c r="C10" s="8">
        <f t="shared" si="9"/>
        <v>5.3800000000000001E-2</v>
      </c>
      <c r="D10" s="86">
        <f t="shared" ref="D10:D17" si="20">ROUND(D9+(D$18-D$8)/10, 4)</f>
        <v>3.5000000000000003E-2</v>
      </c>
      <c r="E10" s="8">
        <f t="shared" si="10"/>
        <v>5.2999999999999999E-2</v>
      </c>
      <c r="F10" s="8">
        <f t="shared" si="12"/>
        <v>0</v>
      </c>
      <c r="G10" s="8">
        <f t="shared" si="13"/>
        <v>3.0000000000000001E-3</v>
      </c>
      <c r="H10" s="8">
        <f t="shared" si="14"/>
        <v>8.0000000000000004E-4</v>
      </c>
      <c r="I10" s="8"/>
      <c r="J10" s="11">
        <f t="shared" si="15"/>
        <v>1.4999999999999999E-2</v>
      </c>
      <c r="K10" s="9">
        <f t="shared" si="16"/>
        <v>0.05</v>
      </c>
      <c r="M10" s="9">
        <f t="shared" si="17"/>
        <v>1E-3</v>
      </c>
      <c r="O10" s="9">
        <f t="shared" si="18"/>
        <v>5.0000000000000001E-3</v>
      </c>
      <c r="P10" s="9">
        <f t="shared" si="19"/>
        <v>5.5E-2</v>
      </c>
    </row>
    <row r="11" spans="1:16">
      <c r="A11" s="7">
        <f t="shared" si="11"/>
        <v>2027</v>
      </c>
      <c r="B11" s="86">
        <f t="shared" si="8"/>
        <v>5.3800000000000001E-2</v>
      </c>
      <c r="C11" s="8">
        <f t="shared" si="9"/>
        <v>5.3800000000000001E-2</v>
      </c>
      <c r="D11" s="86">
        <f t="shared" si="20"/>
        <v>3.5000000000000003E-2</v>
      </c>
      <c r="E11" s="8">
        <f t="shared" si="10"/>
        <v>5.2999999999999999E-2</v>
      </c>
      <c r="F11" s="8">
        <f t="shared" si="12"/>
        <v>0</v>
      </c>
      <c r="G11" s="8">
        <f t="shared" si="13"/>
        <v>3.0000000000000001E-3</v>
      </c>
      <c r="H11" s="8">
        <f t="shared" si="14"/>
        <v>8.0000000000000004E-4</v>
      </c>
      <c r="I11" s="8"/>
      <c r="J11" s="11">
        <f t="shared" si="15"/>
        <v>1.4999999999999999E-2</v>
      </c>
      <c r="K11" s="9">
        <f t="shared" si="16"/>
        <v>0.05</v>
      </c>
      <c r="M11" s="9">
        <f t="shared" si="17"/>
        <v>1E-3</v>
      </c>
      <c r="O11" s="9">
        <f t="shared" si="18"/>
        <v>5.0000000000000001E-3</v>
      </c>
      <c r="P11" s="9">
        <f t="shared" si="19"/>
        <v>5.5E-2</v>
      </c>
    </row>
    <row r="12" spans="1:16">
      <c r="A12" s="7">
        <f t="shared" si="11"/>
        <v>2028</v>
      </c>
      <c r="B12" s="86">
        <f t="shared" si="8"/>
        <v>5.3800000000000001E-2</v>
      </c>
      <c r="C12" s="8">
        <f t="shared" si="9"/>
        <v>5.3800000000000001E-2</v>
      </c>
      <c r="D12" s="86">
        <f t="shared" si="20"/>
        <v>3.5000000000000003E-2</v>
      </c>
      <c r="E12" s="8">
        <f t="shared" si="10"/>
        <v>5.2999999999999999E-2</v>
      </c>
      <c r="F12" s="8">
        <f t="shared" si="12"/>
        <v>0</v>
      </c>
      <c r="G12" s="8">
        <f t="shared" si="13"/>
        <v>3.0000000000000001E-3</v>
      </c>
      <c r="H12" s="8">
        <f t="shared" si="14"/>
        <v>8.0000000000000004E-4</v>
      </c>
      <c r="I12" s="8"/>
      <c r="J12" s="11">
        <f t="shared" si="15"/>
        <v>1.4999999999999999E-2</v>
      </c>
      <c r="K12" s="9">
        <f t="shared" si="16"/>
        <v>0.05</v>
      </c>
      <c r="M12" s="9">
        <f t="shared" si="17"/>
        <v>1E-3</v>
      </c>
      <c r="O12" s="9">
        <f t="shared" si="18"/>
        <v>5.0000000000000001E-3</v>
      </c>
      <c r="P12" s="9">
        <f t="shared" si="19"/>
        <v>5.5E-2</v>
      </c>
    </row>
    <row r="13" spans="1:16">
      <c r="A13" s="7">
        <f t="shared" si="11"/>
        <v>2029</v>
      </c>
      <c r="B13" s="86">
        <f t="shared" si="8"/>
        <v>5.3800000000000001E-2</v>
      </c>
      <c r="C13" s="8">
        <f t="shared" si="9"/>
        <v>5.3800000000000001E-2</v>
      </c>
      <c r="D13" s="86">
        <f t="shared" si="20"/>
        <v>3.5000000000000003E-2</v>
      </c>
      <c r="E13" s="8">
        <f t="shared" si="10"/>
        <v>5.2999999999999999E-2</v>
      </c>
      <c r="F13" s="8">
        <f t="shared" si="12"/>
        <v>0</v>
      </c>
      <c r="G13" s="8">
        <f t="shared" si="13"/>
        <v>3.0000000000000001E-3</v>
      </c>
      <c r="H13" s="8">
        <f t="shared" si="14"/>
        <v>8.0000000000000004E-4</v>
      </c>
      <c r="I13" s="8"/>
      <c r="J13" s="11">
        <f t="shared" si="15"/>
        <v>1.4999999999999999E-2</v>
      </c>
      <c r="K13" s="9">
        <f t="shared" si="16"/>
        <v>0.05</v>
      </c>
      <c r="M13" s="9">
        <f t="shared" si="17"/>
        <v>1E-3</v>
      </c>
      <c r="O13" s="9">
        <f t="shared" si="18"/>
        <v>5.0000000000000001E-3</v>
      </c>
      <c r="P13" s="9">
        <f t="shared" si="19"/>
        <v>5.5E-2</v>
      </c>
    </row>
    <row r="14" spans="1:16">
      <c r="A14" s="7">
        <f t="shared" si="11"/>
        <v>2030</v>
      </c>
      <c r="B14" s="86">
        <f t="shared" si="8"/>
        <v>5.3800000000000001E-2</v>
      </c>
      <c r="C14" s="8">
        <f t="shared" si="9"/>
        <v>5.3800000000000001E-2</v>
      </c>
      <c r="D14" s="86">
        <f t="shared" si="20"/>
        <v>3.5000000000000003E-2</v>
      </c>
      <c r="E14" s="8">
        <f t="shared" si="10"/>
        <v>5.2999999999999999E-2</v>
      </c>
      <c r="F14" s="8">
        <f>F13</f>
        <v>0</v>
      </c>
      <c r="G14" s="8">
        <f>G13</f>
        <v>3.0000000000000001E-3</v>
      </c>
      <c r="H14" s="8">
        <f t="shared" si="14"/>
        <v>8.0000000000000004E-4</v>
      </c>
      <c r="I14" s="8"/>
      <c r="J14" s="11">
        <f t="shared" si="15"/>
        <v>1.4999999999999999E-2</v>
      </c>
      <c r="K14" s="9">
        <f t="shared" si="16"/>
        <v>0.05</v>
      </c>
      <c r="M14" s="9">
        <f t="shared" si="17"/>
        <v>1E-3</v>
      </c>
      <c r="O14" s="9">
        <f t="shared" si="18"/>
        <v>5.0000000000000001E-3</v>
      </c>
      <c r="P14" s="9">
        <f t="shared" si="19"/>
        <v>5.5E-2</v>
      </c>
    </row>
    <row r="15" spans="1:16">
      <c r="A15" s="7">
        <f t="shared" si="11"/>
        <v>2031</v>
      </c>
      <c r="B15" s="86">
        <f t="shared" si="8"/>
        <v>5.3800000000000001E-2</v>
      </c>
      <c r="C15" s="8">
        <f t="shared" si="9"/>
        <v>5.3800000000000001E-2</v>
      </c>
      <c r="D15" s="86">
        <f t="shared" si="20"/>
        <v>3.5000000000000003E-2</v>
      </c>
      <c r="E15" s="8">
        <f t="shared" si="10"/>
        <v>5.2999999999999999E-2</v>
      </c>
      <c r="F15" s="8">
        <f t="shared" ref="F15:F44" si="21">F14</f>
        <v>0</v>
      </c>
      <c r="G15" s="8">
        <f t="shared" ref="G15:G44" si="22">G14</f>
        <v>3.0000000000000001E-3</v>
      </c>
      <c r="H15" s="8">
        <f t="shared" si="14"/>
        <v>8.0000000000000004E-4</v>
      </c>
      <c r="I15" s="8"/>
      <c r="J15" s="11">
        <f t="shared" si="15"/>
        <v>1.4999999999999999E-2</v>
      </c>
      <c r="K15" s="9">
        <f t="shared" si="16"/>
        <v>0.05</v>
      </c>
      <c r="M15" s="9">
        <f t="shared" si="17"/>
        <v>1E-3</v>
      </c>
      <c r="O15" s="9">
        <f t="shared" si="18"/>
        <v>5.0000000000000001E-3</v>
      </c>
      <c r="P15" s="9">
        <f t="shared" si="19"/>
        <v>5.5E-2</v>
      </c>
    </row>
    <row r="16" spans="1:16">
      <c r="A16" s="7">
        <f t="shared" si="11"/>
        <v>2032</v>
      </c>
      <c r="B16" s="86">
        <f t="shared" si="8"/>
        <v>5.3800000000000001E-2</v>
      </c>
      <c r="C16" s="8">
        <f t="shared" si="9"/>
        <v>5.3800000000000001E-2</v>
      </c>
      <c r="D16" s="86">
        <f t="shared" si="20"/>
        <v>3.5000000000000003E-2</v>
      </c>
      <c r="E16" s="8">
        <f t="shared" si="10"/>
        <v>5.2999999999999999E-2</v>
      </c>
      <c r="F16" s="8">
        <f t="shared" si="21"/>
        <v>0</v>
      </c>
      <c r="G16" s="8">
        <f t="shared" si="22"/>
        <v>3.0000000000000001E-3</v>
      </c>
      <c r="H16" s="8">
        <f t="shared" si="14"/>
        <v>8.0000000000000004E-4</v>
      </c>
      <c r="I16" s="8"/>
      <c r="J16" s="11">
        <f t="shared" si="15"/>
        <v>1.4999999999999999E-2</v>
      </c>
      <c r="K16" s="9">
        <f t="shared" si="16"/>
        <v>0.05</v>
      </c>
      <c r="M16" s="9">
        <f t="shared" si="17"/>
        <v>1E-3</v>
      </c>
      <c r="O16" s="9">
        <f t="shared" si="18"/>
        <v>5.0000000000000001E-3</v>
      </c>
      <c r="P16" s="9">
        <f t="shared" si="19"/>
        <v>5.5E-2</v>
      </c>
    </row>
    <row r="17" spans="1:16">
      <c r="A17" s="7">
        <f t="shared" si="11"/>
        <v>2033</v>
      </c>
      <c r="B17" s="86">
        <f t="shared" si="8"/>
        <v>5.3800000000000001E-2</v>
      </c>
      <c r="C17" s="8">
        <f t="shared" si="9"/>
        <v>5.3800000000000001E-2</v>
      </c>
      <c r="D17" s="86">
        <f t="shared" si="20"/>
        <v>3.5000000000000003E-2</v>
      </c>
      <c r="E17" s="8">
        <f t="shared" si="10"/>
        <v>5.2999999999999999E-2</v>
      </c>
      <c r="F17" s="8">
        <f t="shared" si="21"/>
        <v>0</v>
      </c>
      <c r="G17" s="8">
        <f t="shared" si="22"/>
        <v>3.0000000000000001E-3</v>
      </c>
      <c r="H17" s="8">
        <f t="shared" si="14"/>
        <v>8.0000000000000004E-4</v>
      </c>
      <c r="I17" s="8"/>
      <c r="J17" s="11">
        <f t="shared" si="15"/>
        <v>1.4999999999999999E-2</v>
      </c>
      <c r="K17" s="9">
        <f t="shared" si="16"/>
        <v>0.05</v>
      </c>
      <c r="M17" s="9">
        <f t="shared" si="17"/>
        <v>1E-3</v>
      </c>
      <c r="O17" s="9">
        <f t="shared" si="18"/>
        <v>5.0000000000000001E-3</v>
      </c>
      <c r="P17" s="9">
        <f t="shared" si="19"/>
        <v>5.5E-2</v>
      </c>
    </row>
    <row r="18" spans="1:16">
      <c r="A18" s="7">
        <f t="shared" si="11"/>
        <v>2034</v>
      </c>
      <c r="B18" s="86">
        <f t="shared" si="8"/>
        <v>5.3800000000000001E-2</v>
      </c>
      <c r="C18" s="8">
        <f t="shared" si="9"/>
        <v>5.3800000000000001E-2</v>
      </c>
      <c r="D18" s="17">
        <v>3.5000000000000003E-2</v>
      </c>
      <c r="E18" s="8">
        <f t="shared" si="10"/>
        <v>5.2999999999999999E-2</v>
      </c>
      <c r="F18" s="8">
        <f t="shared" si="21"/>
        <v>0</v>
      </c>
      <c r="G18" s="8">
        <f t="shared" si="22"/>
        <v>3.0000000000000001E-3</v>
      </c>
      <c r="H18" s="8">
        <f t="shared" si="14"/>
        <v>8.0000000000000004E-4</v>
      </c>
      <c r="I18" s="8"/>
      <c r="J18" s="11">
        <f t="shared" si="15"/>
        <v>1.4999999999999999E-2</v>
      </c>
      <c r="K18" s="9">
        <f t="shared" si="16"/>
        <v>0.05</v>
      </c>
      <c r="M18" s="9">
        <f t="shared" si="17"/>
        <v>1E-3</v>
      </c>
      <c r="O18" s="9">
        <f t="shared" si="18"/>
        <v>5.0000000000000001E-3</v>
      </c>
      <c r="P18" s="9">
        <f t="shared" si="19"/>
        <v>5.5E-2</v>
      </c>
    </row>
    <row r="19" spans="1:16">
      <c r="A19" s="7">
        <f t="shared" si="11"/>
        <v>2035</v>
      </c>
      <c r="B19" s="86">
        <f t="shared" si="8"/>
        <v>5.3800000000000001E-2</v>
      </c>
      <c r="C19" s="8">
        <f t="shared" si="9"/>
        <v>5.3800000000000001E-2</v>
      </c>
      <c r="D19" s="8">
        <f t="shared" ref="D19:D44" si="23">D18</f>
        <v>3.5000000000000003E-2</v>
      </c>
      <c r="E19" s="8">
        <f t="shared" si="10"/>
        <v>5.2999999999999999E-2</v>
      </c>
      <c r="F19" s="8">
        <f t="shared" si="21"/>
        <v>0</v>
      </c>
      <c r="G19" s="8">
        <f t="shared" si="22"/>
        <v>3.0000000000000001E-3</v>
      </c>
      <c r="H19" s="8">
        <f t="shared" si="14"/>
        <v>8.0000000000000004E-4</v>
      </c>
      <c r="I19" s="8"/>
      <c r="J19" s="11">
        <f t="shared" ref="J19:J44" si="24">J18</f>
        <v>1.4999999999999999E-2</v>
      </c>
      <c r="K19" s="9">
        <f t="shared" si="16"/>
        <v>0.05</v>
      </c>
      <c r="M19" s="9">
        <f t="shared" si="17"/>
        <v>1E-3</v>
      </c>
      <c r="O19" s="9">
        <f t="shared" si="18"/>
        <v>5.0000000000000001E-3</v>
      </c>
      <c r="P19" s="9">
        <f t="shared" si="19"/>
        <v>5.5E-2</v>
      </c>
    </row>
    <row r="20" spans="1:16">
      <c r="A20" s="7">
        <f t="shared" si="11"/>
        <v>2036</v>
      </c>
      <c r="B20" s="86">
        <f t="shared" si="8"/>
        <v>5.3800000000000001E-2</v>
      </c>
      <c r="C20" s="8">
        <f t="shared" si="9"/>
        <v>5.3800000000000001E-2</v>
      </c>
      <c r="D20" s="8">
        <f t="shared" si="23"/>
        <v>3.5000000000000003E-2</v>
      </c>
      <c r="E20" s="8">
        <f t="shared" si="10"/>
        <v>5.2999999999999999E-2</v>
      </c>
      <c r="F20" s="8">
        <f t="shared" si="21"/>
        <v>0</v>
      </c>
      <c r="G20" s="8">
        <f t="shared" si="22"/>
        <v>3.0000000000000001E-3</v>
      </c>
      <c r="H20" s="8">
        <f t="shared" si="14"/>
        <v>8.0000000000000004E-4</v>
      </c>
      <c r="I20" s="8"/>
      <c r="J20" s="11">
        <f t="shared" si="24"/>
        <v>1.4999999999999999E-2</v>
      </c>
      <c r="K20" s="9">
        <f t="shared" si="16"/>
        <v>0.05</v>
      </c>
      <c r="M20" s="9">
        <f t="shared" si="17"/>
        <v>1E-3</v>
      </c>
      <c r="O20" s="9">
        <f t="shared" si="18"/>
        <v>5.0000000000000001E-3</v>
      </c>
      <c r="P20" s="9">
        <f t="shared" si="19"/>
        <v>5.5E-2</v>
      </c>
    </row>
    <row r="21" spans="1:16">
      <c r="A21" s="7">
        <f t="shared" si="11"/>
        <v>2037</v>
      </c>
      <c r="B21" s="86">
        <f t="shared" si="8"/>
        <v>5.3800000000000001E-2</v>
      </c>
      <c r="C21" s="8">
        <f t="shared" si="9"/>
        <v>5.3800000000000001E-2</v>
      </c>
      <c r="D21" s="8">
        <f t="shared" si="23"/>
        <v>3.5000000000000003E-2</v>
      </c>
      <c r="E21" s="8">
        <f t="shared" si="10"/>
        <v>5.2999999999999999E-2</v>
      </c>
      <c r="F21" s="8">
        <f t="shared" si="21"/>
        <v>0</v>
      </c>
      <c r="G21" s="8">
        <f t="shared" si="22"/>
        <v>3.0000000000000001E-3</v>
      </c>
      <c r="H21" s="8">
        <f t="shared" si="14"/>
        <v>8.0000000000000004E-4</v>
      </c>
      <c r="I21" s="8"/>
      <c r="J21" s="11">
        <f t="shared" si="24"/>
        <v>1.4999999999999999E-2</v>
      </c>
      <c r="K21" s="9">
        <f t="shared" si="16"/>
        <v>0.05</v>
      </c>
      <c r="M21" s="9">
        <f t="shared" si="17"/>
        <v>1E-3</v>
      </c>
      <c r="O21" s="9">
        <f t="shared" si="18"/>
        <v>5.0000000000000001E-3</v>
      </c>
      <c r="P21" s="9">
        <f t="shared" si="19"/>
        <v>5.5E-2</v>
      </c>
    </row>
    <row r="22" spans="1:16">
      <c r="A22" s="7">
        <f t="shared" si="11"/>
        <v>2038</v>
      </c>
      <c r="B22" s="86">
        <f t="shared" si="8"/>
        <v>5.3800000000000001E-2</v>
      </c>
      <c r="C22" s="8">
        <f t="shared" si="9"/>
        <v>5.3800000000000001E-2</v>
      </c>
      <c r="D22" s="8">
        <f t="shared" si="23"/>
        <v>3.5000000000000003E-2</v>
      </c>
      <c r="E22" s="8">
        <f t="shared" si="10"/>
        <v>5.2999999999999999E-2</v>
      </c>
      <c r="F22" s="8">
        <f t="shared" si="21"/>
        <v>0</v>
      </c>
      <c r="G22" s="8">
        <f t="shared" si="22"/>
        <v>3.0000000000000001E-3</v>
      </c>
      <c r="H22" s="8">
        <f t="shared" si="14"/>
        <v>8.0000000000000004E-4</v>
      </c>
      <c r="I22" s="8"/>
      <c r="J22" s="11">
        <f t="shared" si="24"/>
        <v>1.4999999999999999E-2</v>
      </c>
      <c r="K22" s="9">
        <f t="shared" si="16"/>
        <v>0.05</v>
      </c>
      <c r="M22" s="9">
        <f t="shared" si="17"/>
        <v>1E-3</v>
      </c>
      <c r="O22" s="9">
        <f t="shared" si="18"/>
        <v>5.0000000000000001E-3</v>
      </c>
      <c r="P22" s="9">
        <f t="shared" si="19"/>
        <v>5.5E-2</v>
      </c>
    </row>
    <row r="23" spans="1:16">
      <c r="A23" s="7">
        <f t="shared" si="11"/>
        <v>2039</v>
      </c>
      <c r="B23" s="86">
        <f t="shared" si="8"/>
        <v>5.3800000000000001E-2</v>
      </c>
      <c r="C23" s="8">
        <f t="shared" si="9"/>
        <v>5.3800000000000001E-2</v>
      </c>
      <c r="D23" s="8">
        <f t="shared" si="23"/>
        <v>3.5000000000000003E-2</v>
      </c>
      <c r="E23" s="8">
        <f t="shared" si="10"/>
        <v>5.2999999999999999E-2</v>
      </c>
      <c r="F23" s="8">
        <f t="shared" si="21"/>
        <v>0</v>
      </c>
      <c r="G23" s="8">
        <f t="shared" si="22"/>
        <v>3.0000000000000001E-3</v>
      </c>
      <c r="H23" s="8">
        <f t="shared" si="14"/>
        <v>8.0000000000000004E-4</v>
      </c>
      <c r="I23" s="8"/>
      <c r="J23" s="11">
        <f t="shared" si="24"/>
        <v>1.4999999999999999E-2</v>
      </c>
      <c r="K23" s="9">
        <f t="shared" si="16"/>
        <v>0.05</v>
      </c>
      <c r="M23" s="9">
        <f t="shared" si="17"/>
        <v>1E-3</v>
      </c>
      <c r="O23" s="9">
        <f t="shared" si="18"/>
        <v>5.0000000000000001E-3</v>
      </c>
      <c r="P23" s="9">
        <f t="shared" si="19"/>
        <v>5.5E-2</v>
      </c>
    </row>
    <row r="24" spans="1:16">
      <c r="A24" s="7">
        <f t="shared" si="11"/>
        <v>2040</v>
      </c>
      <c r="B24" s="86">
        <f t="shared" si="8"/>
        <v>5.3800000000000001E-2</v>
      </c>
      <c r="C24" s="8">
        <f t="shared" si="9"/>
        <v>5.3800000000000001E-2</v>
      </c>
      <c r="D24" s="8">
        <f t="shared" si="23"/>
        <v>3.5000000000000003E-2</v>
      </c>
      <c r="E24" s="8">
        <f t="shared" si="10"/>
        <v>5.2999999999999999E-2</v>
      </c>
      <c r="F24" s="8">
        <f t="shared" si="21"/>
        <v>0</v>
      </c>
      <c r="G24" s="8">
        <f t="shared" si="22"/>
        <v>3.0000000000000001E-3</v>
      </c>
      <c r="H24" s="8">
        <f t="shared" si="14"/>
        <v>8.0000000000000004E-4</v>
      </c>
      <c r="I24" s="8"/>
      <c r="J24" s="11">
        <f t="shared" si="24"/>
        <v>1.4999999999999999E-2</v>
      </c>
      <c r="K24" s="9">
        <f t="shared" si="16"/>
        <v>0.05</v>
      </c>
      <c r="M24" s="9">
        <f t="shared" si="17"/>
        <v>1E-3</v>
      </c>
      <c r="O24" s="9">
        <f t="shared" si="18"/>
        <v>5.0000000000000001E-3</v>
      </c>
      <c r="P24" s="9">
        <f t="shared" si="19"/>
        <v>5.5E-2</v>
      </c>
    </row>
    <row r="25" spans="1:16">
      <c r="A25" s="7">
        <f t="shared" si="11"/>
        <v>2041</v>
      </c>
      <c r="B25" s="86">
        <f t="shared" si="8"/>
        <v>5.3800000000000001E-2</v>
      </c>
      <c r="C25" s="8">
        <f t="shared" si="9"/>
        <v>5.3800000000000001E-2</v>
      </c>
      <c r="D25" s="8">
        <f t="shared" si="23"/>
        <v>3.5000000000000003E-2</v>
      </c>
      <c r="E25" s="8">
        <f t="shared" si="10"/>
        <v>5.2999999999999999E-2</v>
      </c>
      <c r="F25" s="8">
        <f t="shared" si="21"/>
        <v>0</v>
      </c>
      <c r="G25" s="8">
        <f t="shared" si="22"/>
        <v>3.0000000000000001E-3</v>
      </c>
      <c r="H25" s="8">
        <f t="shared" si="14"/>
        <v>8.0000000000000004E-4</v>
      </c>
      <c r="I25" s="8"/>
      <c r="J25" s="11">
        <f t="shared" si="24"/>
        <v>1.4999999999999999E-2</v>
      </c>
      <c r="K25" s="9">
        <f t="shared" si="16"/>
        <v>0.05</v>
      </c>
      <c r="M25" s="9">
        <f t="shared" si="17"/>
        <v>1E-3</v>
      </c>
      <c r="O25" s="9">
        <f t="shared" si="18"/>
        <v>5.0000000000000001E-3</v>
      </c>
      <c r="P25" s="9">
        <f t="shared" si="19"/>
        <v>5.5E-2</v>
      </c>
    </row>
    <row r="26" spans="1:16">
      <c r="A26" s="7">
        <f t="shared" si="11"/>
        <v>2042</v>
      </c>
      <c r="B26" s="86">
        <f t="shared" si="8"/>
        <v>5.3800000000000001E-2</v>
      </c>
      <c r="C26" s="8">
        <f t="shared" si="9"/>
        <v>5.3800000000000001E-2</v>
      </c>
      <c r="D26" s="8">
        <f t="shared" si="23"/>
        <v>3.5000000000000003E-2</v>
      </c>
      <c r="E26" s="8">
        <f t="shared" si="10"/>
        <v>5.2999999999999999E-2</v>
      </c>
      <c r="F26" s="8">
        <f t="shared" si="21"/>
        <v>0</v>
      </c>
      <c r="G26" s="8">
        <f t="shared" si="22"/>
        <v>3.0000000000000001E-3</v>
      </c>
      <c r="H26" s="8">
        <f t="shared" si="14"/>
        <v>8.0000000000000004E-4</v>
      </c>
      <c r="I26" s="8"/>
      <c r="J26" s="11">
        <f t="shared" si="24"/>
        <v>1.4999999999999999E-2</v>
      </c>
      <c r="K26" s="9">
        <f t="shared" si="16"/>
        <v>0.05</v>
      </c>
      <c r="M26" s="9">
        <f t="shared" si="17"/>
        <v>1E-3</v>
      </c>
      <c r="O26" s="9">
        <f t="shared" si="18"/>
        <v>5.0000000000000001E-3</v>
      </c>
      <c r="P26" s="9">
        <f t="shared" si="19"/>
        <v>5.5E-2</v>
      </c>
    </row>
    <row r="27" spans="1:16">
      <c r="A27" s="7">
        <f t="shared" si="11"/>
        <v>2043</v>
      </c>
      <c r="B27" s="86">
        <f t="shared" si="8"/>
        <v>5.3800000000000001E-2</v>
      </c>
      <c r="C27" s="8">
        <f t="shared" si="9"/>
        <v>5.3800000000000001E-2</v>
      </c>
      <c r="D27" s="8">
        <f t="shared" si="23"/>
        <v>3.5000000000000003E-2</v>
      </c>
      <c r="E27" s="8">
        <f t="shared" si="10"/>
        <v>5.2999999999999999E-2</v>
      </c>
      <c r="F27" s="8">
        <f t="shared" si="21"/>
        <v>0</v>
      </c>
      <c r="G27" s="8">
        <f t="shared" si="22"/>
        <v>3.0000000000000001E-3</v>
      </c>
      <c r="H27" s="8">
        <f t="shared" si="14"/>
        <v>8.0000000000000004E-4</v>
      </c>
      <c r="I27" s="8"/>
      <c r="J27" s="11">
        <f t="shared" si="24"/>
        <v>1.4999999999999999E-2</v>
      </c>
      <c r="K27" s="9">
        <f t="shared" si="16"/>
        <v>0.05</v>
      </c>
      <c r="M27" s="9">
        <f t="shared" si="17"/>
        <v>1E-3</v>
      </c>
      <c r="O27" s="9">
        <f t="shared" si="18"/>
        <v>5.0000000000000001E-3</v>
      </c>
      <c r="P27" s="9">
        <f t="shared" si="19"/>
        <v>5.5E-2</v>
      </c>
    </row>
    <row r="28" spans="1:16">
      <c r="A28" s="7">
        <f t="shared" si="11"/>
        <v>2044</v>
      </c>
      <c r="B28" s="86">
        <f t="shared" si="8"/>
        <v>5.3800000000000001E-2</v>
      </c>
      <c r="C28" s="8">
        <f t="shared" si="9"/>
        <v>5.3800000000000001E-2</v>
      </c>
      <c r="D28" s="8">
        <f t="shared" si="23"/>
        <v>3.5000000000000003E-2</v>
      </c>
      <c r="E28" s="8">
        <f t="shared" si="10"/>
        <v>5.2999999999999999E-2</v>
      </c>
      <c r="F28" s="8">
        <f t="shared" si="21"/>
        <v>0</v>
      </c>
      <c r="G28" s="8">
        <f t="shared" si="22"/>
        <v>3.0000000000000001E-3</v>
      </c>
      <c r="H28" s="8">
        <f t="shared" si="14"/>
        <v>8.0000000000000004E-4</v>
      </c>
      <c r="I28" s="8"/>
      <c r="J28" s="11">
        <f t="shared" si="24"/>
        <v>1.4999999999999999E-2</v>
      </c>
      <c r="K28" s="9">
        <f t="shared" si="16"/>
        <v>0.05</v>
      </c>
      <c r="M28" s="9">
        <f t="shared" si="17"/>
        <v>1E-3</v>
      </c>
      <c r="O28" s="9">
        <f t="shared" si="18"/>
        <v>5.0000000000000001E-3</v>
      </c>
      <c r="P28" s="9">
        <f t="shared" si="19"/>
        <v>5.5E-2</v>
      </c>
    </row>
    <row r="29" spans="1:16">
      <c r="A29" s="7">
        <f t="shared" si="11"/>
        <v>2045</v>
      </c>
      <c r="B29" s="86">
        <f t="shared" si="8"/>
        <v>5.3800000000000001E-2</v>
      </c>
      <c r="C29" s="8">
        <f t="shared" si="9"/>
        <v>5.3800000000000001E-2</v>
      </c>
      <c r="D29" s="8">
        <f t="shared" si="23"/>
        <v>3.5000000000000003E-2</v>
      </c>
      <c r="E29" s="8">
        <f t="shared" si="10"/>
        <v>5.2999999999999999E-2</v>
      </c>
      <c r="F29" s="8">
        <f t="shared" si="21"/>
        <v>0</v>
      </c>
      <c r="G29" s="8">
        <f t="shared" si="22"/>
        <v>3.0000000000000001E-3</v>
      </c>
      <c r="H29" s="8">
        <f t="shared" si="14"/>
        <v>8.0000000000000004E-4</v>
      </c>
      <c r="I29" s="8"/>
      <c r="J29" s="11">
        <f t="shared" si="24"/>
        <v>1.4999999999999999E-2</v>
      </c>
      <c r="K29" s="9">
        <f t="shared" si="16"/>
        <v>0.05</v>
      </c>
      <c r="M29" s="9">
        <f t="shared" si="17"/>
        <v>1E-3</v>
      </c>
      <c r="O29" s="9">
        <f t="shared" si="18"/>
        <v>5.0000000000000001E-3</v>
      </c>
      <c r="P29" s="9">
        <f t="shared" si="19"/>
        <v>5.5E-2</v>
      </c>
    </row>
    <row r="30" spans="1:16">
      <c r="A30" s="7">
        <f t="shared" si="11"/>
        <v>2046</v>
      </c>
      <c r="B30" s="86">
        <f t="shared" si="8"/>
        <v>5.3800000000000001E-2</v>
      </c>
      <c r="C30" s="8">
        <f t="shared" si="9"/>
        <v>5.3800000000000001E-2</v>
      </c>
      <c r="D30" s="8">
        <f t="shared" si="23"/>
        <v>3.5000000000000003E-2</v>
      </c>
      <c r="E30" s="8">
        <f t="shared" si="10"/>
        <v>5.2999999999999999E-2</v>
      </c>
      <c r="F30" s="8">
        <f t="shared" si="21"/>
        <v>0</v>
      </c>
      <c r="G30" s="8">
        <f t="shared" si="22"/>
        <v>3.0000000000000001E-3</v>
      </c>
      <c r="H30" s="8">
        <f t="shared" si="14"/>
        <v>8.0000000000000004E-4</v>
      </c>
      <c r="I30" s="8"/>
      <c r="J30" s="11">
        <f t="shared" si="24"/>
        <v>1.4999999999999999E-2</v>
      </c>
      <c r="K30" s="9">
        <f t="shared" si="16"/>
        <v>0.05</v>
      </c>
      <c r="M30" s="9">
        <f t="shared" si="17"/>
        <v>1E-3</v>
      </c>
      <c r="O30" s="9">
        <f t="shared" si="18"/>
        <v>5.0000000000000001E-3</v>
      </c>
      <c r="P30" s="9">
        <f t="shared" si="19"/>
        <v>5.5E-2</v>
      </c>
    </row>
    <row r="31" spans="1:16">
      <c r="A31" s="7">
        <f t="shared" si="11"/>
        <v>2047</v>
      </c>
      <c r="B31" s="86">
        <f t="shared" si="8"/>
        <v>5.3800000000000001E-2</v>
      </c>
      <c r="C31" s="8">
        <f t="shared" si="9"/>
        <v>5.3800000000000001E-2</v>
      </c>
      <c r="D31" s="8">
        <f t="shared" si="23"/>
        <v>3.5000000000000003E-2</v>
      </c>
      <c r="E31" s="8">
        <f t="shared" si="10"/>
        <v>5.2999999999999999E-2</v>
      </c>
      <c r="F31" s="8">
        <f t="shared" si="21"/>
        <v>0</v>
      </c>
      <c r="G31" s="8">
        <f t="shared" si="22"/>
        <v>3.0000000000000001E-3</v>
      </c>
      <c r="H31" s="8">
        <f t="shared" si="14"/>
        <v>8.0000000000000004E-4</v>
      </c>
      <c r="I31" s="8"/>
      <c r="J31" s="11">
        <f t="shared" si="24"/>
        <v>1.4999999999999999E-2</v>
      </c>
      <c r="K31" s="9">
        <f t="shared" si="16"/>
        <v>0.05</v>
      </c>
      <c r="M31" s="9">
        <f t="shared" si="17"/>
        <v>1E-3</v>
      </c>
      <c r="O31" s="9">
        <f t="shared" si="18"/>
        <v>5.0000000000000001E-3</v>
      </c>
      <c r="P31" s="9">
        <f t="shared" si="19"/>
        <v>5.5E-2</v>
      </c>
    </row>
    <row r="32" spans="1:16">
      <c r="A32" s="7">
        <f t="shared" si="11"/>
        <v>2048</v>
      </c>
      <c r="B32" s="86">
        <f t="shared" si="8"/>
        <v>5.3800000000000001E-2</v>
      </c>
      <c r="C32" s="8">
        <f t="shared" si="9"/>
        <v>5.3800000000000001E-2</v>
      </c>
      <c r="D32" s="8">
        <f t="shared" si="23"/>
        <v>3.5000000000000003E-2</v>
      </c>
      <c r="E32" s="8">
        <f t="shared" si="10"/>
        <v>5.2999999999999999E-2</v>
      </c>
      <c r="F32" s="8">
        <f t="shared" si="21"/>
        <v>0</v>
      </c>
      <c r="G32" s="8">
        <f t="shared" si="22"/>
        <v>3.0000000000000001E-3</v>
      </c>
      <c r="H32" s="8">
        <f t="shared" si="14"/>
        <v>8.0000000000000004E-4</v>
      </c>
      <c r="I32" s="8"/>
      <c r="J32" s="11">
        <f t="shared" si="24"/>
        <v>1.4999999999999999E-2</v>
      </c>
      <c r="K32" s="9">
        <f t="shared" si="16"/>
        <v>0.05</v>
      </c>
      <c r="M32" s="9">
        <f t="shared" si="17"/>
        <v>1E-3</v>
      </c>
      <c r="O32" s="9">
        <f t="shared" si="18"/>
        <v>5.0000000000000001E-3</v>
      </c>
      <c r="P32" s="9">
        <f t="shared" si="19"/>
        <v>5.5E-2</v>
      </c>
    </row>
    <row r="33" spans="1:16">
      <c r="A33" s="7">
        <f t="shared" si="11"/>
        <v>2049</v>
      </c>
      <c r="B33" s="86">
        <f t="shared" si="8"/>
        <v>5.3800000000000001E-2</v>
      </c>
      <c r="C33" s="8">
        <f t="shared" si="9"/>
        <v>5.3800000000000001E-2</v>
      </c>
      <c r="D33" s="8">
        <f t="shared" si="23"/>
        <v>3.5000000000000003E-2</v>
      </c>
      <c r="E33" s="8">
        <f t="shared" si="10"/>
        <v>5.2999999999999999E-2</v>
      </c>
      <c r="F33" s="8">
        <f t="shared" si="21"/>
        <v>0</v>
      </c>
      <c r="G33" s="8">
        <f t="shared" si="22"/>
        <v>3.0000000000000001E-3</v>
      </c>
      <c r="H33" s="8">
        <f t="shared" si="14"/>
        <v>8.0000000000000004E-4</v>
      </c>
      <c r="I33" s="8"/>
      <c r="J33" s="11">
        <f t="shared" si="24"/>
        <v>1.4999999999999999E-2</v>
      </c>
      <c r="K33" s="9">
        <f t="shared" si="16"/>
        <v>0.05</v>
      </c>
      <c r="M33" s="9">
        <f t="shared" si="17"/>
        <v>1E-3</v>
      </c>
      <c r="O33" s="9">
        <f t="shared" si="18"/>
        <v>5.0000000000000001E-3</v>
      </c>
      <c r="P33" s="9">
        <f t="shared" si="19"/>
        <v>5.5E-2</v>
      </c>
    </row>
    <row r="34" spans="1:16">
      <c r="A34" s="7">
        <f t="shared" si="11"/>
        <v>2050</v>
      </c>
      <c r="B34" s="86">
        <f t="shared" si="8"/>
        <v>5.3800000000000001E-2</v>
      </c>
      <c r="C34" s="8">
        <f t="shared" si="9"/>
        <v>5.3800000000000001E-2</v>
      </c>
      <c r="D34" s="8">
        <f t="shared" si="23"/>
        <v>3.5000000000000003E-2</v>
      </c>
      <c r="E34" s="8">
        <f t="shared" si="10"/>
        <v>5.2999999999999999E-2</v>
      </c>
      <c r="F34" s="8">
        <f t="shared" si="21"/>
        <v>0</v>
      </c>
      <c r="G34" s="8">
        <f t="shared" si="22"/>
        <v>3.0000000000000001E-3</v>
      </c>
      <c r="H34" s="8">
        <f t="shared" si="14"/>
        <v>8.0000000000000004E-4</v>
      </c>
      <c r="I34" s="8"/>
      <c r="J34" s="11">
        <f t="shared" si="24"/>
        <v>1.4999999999999999E-2</v>
      </c>
      <c r="K34" s="9">
        <f t="shared" si="16"/>
        <v>0.05</v>
      </c>
      <c r="M34" s="9">
        <f t="shared" si="17"/>
        <v>1E-3</v>
      </c>
      <c r="O34" s="9">
        <f t="shared" si="18"/>
        <v>5.0000000000000001E-3</v>
      </c>
      <c r="P34" s="9">
        <f t="shared" si="19"/>
        <v>5.5E-2</v>
      </c>
    </row>
    <row r="35" spans="1:16">
      <c r="A35" s="7">
        <f t="shared" si="11"/>
        <v>2051</v>
      </c>
      <c r="B35" s="86">
        <f t="shared" si="8"/>
        <v>5.3800000000000001E-2</v>
      </c>
      <c r="C35" s="8">
        <f t="shared" si="9"/>
        <v>5.3800000000000001E-2</v>
      </c>
      <c r="D35" s="8">
        <f t="shared" si="23"/>
        <v>3.5000000000000003E-2</v>
      </c>
      <c r="E35" s="8">
        <f t="shared" si="10"/>
        <v>5.2999999999999999E-2</v>
      </c>
      <c r="F35" s="8">
        <f t="shared" si="21"/>
        <v>0</v>
      </c>
      <c r="G35" s="8">
        <f t="shared" si="22"/>
        <v>3.0000000000000001E-3</v>
      </c>
      <c r="H35" s="8">
        <f t="shared" si="14"/>
        <v>8.0000000000000004E-4</v>
      </c>
      <c r="I35" s="8"/>
      <c r="J35" s="11">
        <f t="shared" si="24"/>
        <v>1.4999999999999999E-2</v>
      </c>
      <c r="K35" s="9">
        <f t="shared" si="16"/>
        <v>0.05</v>
      </c>
      <c r="M35" s="9">
        <f t="shared" si="17"/>
        <v>1E-3</v>
      </c>
      <c r="O35" s="9">
        <f t="shared" si="18"/>
        <v>5.0000000000000001E-3</v>
      </c>
      <c r="P35" s="9">
        <f t="shared" si="19"/>
        <v>5.5E-2</v>
      </c>
    </row>
    <row r="36" spans="1:16">
      <c r="A36" s="7">
        <f t="shared" si="11"/>
        <v>2052</v>
      </c>
      <c r="B36" s="86">
        <f t="shared" si="8"/>
        <v>5.3800000000000001E-2</v>
      </c>
      <c r="C36" s="8">
        <f t="shared" si="9"/>
        <v>5.3800000000000001E-2</v>
      </c>
      <c r="D36" s="8">
        <f t="shared" si="23"/>
        <v>3.5000000000000003E-2</v>
      </c>
      <c r="E36" s="8">
        <f t="shared" si="10"/>
        <v>5.2999999999999999E-2</v>
      </c>
      <c r="F36" s="8">
        <f t="shared" si="21"/>
        <v>0</v>
      </c>
      <c r="G36" s="8">
        <f t="shared" si="22"/>
        <v>3.0000000000000001E-3</v>
      </c>
      <c r="H36" s="8">
        <f t="shared" si="14"/>
        <v>8.0000000000000004E-4</v>
      </c>
      <c r="I36" s="8"/>
      <c r="J36" s="11">
        <f t="shared" si="24"/>
        <v>1.4999999999999999E-2</v>
      </c>
      <c r="K36" s="9">
        <f t="shared" si="16"/>
        <v>0.05</v>
      </c>
      <c r="M36" s="9">
        <f t="shared" si="17"/>
        <v>1E-3</v>
      </c>
      <c r="O36" s="9">
        <f t="shared" si="18"/>
        <v>5.0000000000000001E-3</v>
      </c>
      <c r="P36" s="9">
        <f t="shared" si="19"/>
        <v>5.5E-2</v>
      </c>
    </row>
    <row r="37" spans="1:16">
      <c r="A37" s="7">
        <f t="shared" si="11"/>
        <v>2053</v>
      </c>
      <c r="B37" s="86">
        <f t="shared" si="8"/>
        <v>5.3800000000000001E-2</v>
      </c>
      <c r="C37" s="8">
        <f t="shared" si="9"/>
        <v>5.3800000000000001E-2</v>
      </c>
      <c r="D37" s="8">
        <f t="shared" si="23"/>
        <v>3.5000000000000003E-2</v>
      </c>
      <c r="E37" s="8">
        <f t="shared" si="10"/>
        <v>5.2999999999999999E-2</v>
      </c>
      <c r="F37" s="8">
        <f t="shared" si="21"/>
        <v>0</v>
      </c>
      <c r="G37" s="8">
        <f t="shared" si="22"/>
        <v>3.0000000000000001E-3</v>
      </c>
      <c r="H37" s="8">
        <f t="shared" si="14"/>
        <v>8.0000000000000004E-4</v>
      </c>
      <c r="I37" s="8"/>
      <c r="J37" s="11">
        <f t="shared" si="24"/>
        <v>1.4999999999999999E-2</v>
      </c>
      <c r="K37" s="9">
        <f t="shared" si="16"/>
        <v>0.05</v>
      </c>
      <c r="M37" s="9">
        <f t="shared" si="17"/>
        <v>1E-3</v>
      </c>
      <c r="O37" s="9">
        <f t="shared" si="18"/>
        <v>5.0000000000000001E-3</v>
      </c>
      <c r="P37" s="9">
        <f t="shared" si="19"/>
        <v>5.5E-2</v>
      </c>
    </row>
    <row r="38" spans="1:16">
      <c r="A38" s="7">
        <f t="shared" si="11"/>
        <v>2054</v>
      </c>
      <c r="B38" s="86">
        <f t="shared" si="8"/>
        <v>5.3800000000000001E-2</v>
      </c>
      <c r="C38" s="8">
        <f t="shared" si="9"/>
        <v>5.3800000000000001E-2</v>
      </c>
      <c r="D38" s="8">
        <f t="shared" si="23"/>
        <v>3.5000000000000003E-2</v>
      </c>
      <c r="E38" s="8">
        <f t="shared" si="10"/>
        <v>5.2999999999999999E-2</v>
      </c>
      <c r="F38" s="8">
        <f t="shared" si="21"/>
        <v>0</v>
      </c>
      <c r="G38" s="8">
        <f t="shared" si="22"/>
        <v>3.0000000000000001E-3</v>
      </c>
      <c r="H38" s="8">
        <f t="shared" si="14"/>
        <v>8.0000000000000004E-4</v>
      </c>
      <c r="I38" s="8"/>
      <c r="J38" s="11">
        <f t="shared" si="24"/>
        <v>1.4999999999999999E-2</v>
      </c>
      <c r="K38" s="9">
        <f t="shared" si="16"/>
        <v>0.05</v>
      </c>
      <c r="M38" s="9">
        <f t="shared" si="17"/>
        <v>1E-3</v>
      </c>
      <c r="O38" s="9">
        <f t="shared" si="18"/>
        <v>5.0000000000000001E-3</v>
      </c>
      <c r="P38" s="9">
        <f t="shared" si="19"/>
        <v>5.5E-2</v>
      </c>
    </row>
    <row r="39" spans="1:16">
      <c r="A39" s="7">
        <f t="shared" si="11"/>
        <v>2055</v>
      </c>
      <c r="B39" s="86">
        <f t="shared" si="8"/>
        <v>5.3800000000000001E-2</v>
      </c>
      <c r="C39" s="8">
        <f t="shared" si="9"/>
        <v>5.3800000000000001E-2</v>
      </c>
      <c r="D39" s="8">
        <f t="shared" si="23"/>
        <v>3.5000000000000003E-2</v>
      </c>
      <c r="E39" s="8">
        <f t="shared" si="10"/>
        <v>5.2999999999999999E-2</v>
      </c>
      <c r="F39" s="8">
        <f t="shared" si="21"/>
        <v>0</v>
      </c>
      <c r="G39" s="8">
        <f t="shared" si="22"/>
        <v>3.0000000000000001E-3</v>
      </c>
      <c r="H39" s="8">
        <f t="shared" si="14"/>
        <v>8.0000000000000004E-4</v>
      </c>
      <c r="I39" s="8"/>
      <c r="J39" s="11">
        <f t="shared" si="24"/>
        <v>1.4999999999999999E-2</v>
      </c>
      <c r="K39" s="9">
        <f t="shared" si="16"/>
        <v>0.05</v>
      </c>
      <c r="M39" s="9">
        <f t="shared" si="17"/>
        <v>1E-3</v>
      </c>
      <c r="O39" s="9">
        <f t="shared" si="18"/>
        <v>5.0000000000000001E-3</v>
      </c>
      <c r="P39" s="9">
        <f t="shared" si="19"/>
        <v>5.5E-2</v>
      </c>
    </row>
    <row r="40" spans="1:16">
      <c r="A40" s="7">
        <f t="shared" si="11"/>
        <v>2056</v>
      </c>
      <c r="B40" s="86">
        <f t="shared" si="8"/>
        <v>5.3800000000000001E-2</v>
      </c>
      <c r="C40" s="8">
        <f t="shared" si="9"/>
        <v>5.3800000000000001E-2</v>
      </c>
      <c r="D40" s="8">
        <f t="shared" si="23"/>
        <v>3.5000000000000003E-2</v>
      </c>
      <c r="E40" s="8">
        <f t="shared" si="10"/>
        <v>5.2999999999999999E-2</v>
      </c>
      <c r="F40" s="8">
        <f t="shared" si="21"/>
        <v>0</v>
      </c>
      <c r="G40" s="8">
        <f t="shared" si="22"/>
        <v>3.0000000000000001E-3</v>
      </c>
      <c r="H40" s="8">
        <f t="shared" si="14"/>
        <v>8.0000000000000004E-4</v>
      </c>
      <c r="I40" s="8"/>
      <c r="J40" s="11">
        <f t="shared" si="24"/>
        <v>1.4999999999999999E-2</v>
      </c>
      <c r="K40" s="9">
        <f t="shared" si="16"/>
        <v>0.05</v>
      </c>
      <c r="M40" s="9">
        <f t="shared" si="17"/>
        <v>1E-3</v>
      </c>
      <c r="O40" s="9">
        <f t="shared" si="18"/>
        <v>5.0000000000000001E-3</v>
      </c>
      <c r="P40" s="9">
        <f t="shared" si="19"/>
        <v>5.5E-2</v>
      </c>
    </row>
    <row r="41" spans="1:16">
      <c r="A41" s="7">
        <f t="shared" si="11"/>
        <v>2057</v>
      </c>
      <c r="B41" s="86">
        <f t="shared" si="8"/>
        <v>5.3800000000000001E-2</v>
      </c>
      <c r="C41" s="8">
        <f t="shared" si="9"/>
        <v>5.3800000000000001E-2</v>
      </c>
      <c r="D41" s="8">
        <f t="shared" si="23"/>
        <v>3.5000000000000003E-2</v>
      </c>
      <c r="E41" s="8">
        <f t="shared" si="10"/>
        <v>5.2999999999999999E-2</v>
      </c>
      <c r="F41" s="8">
        <f t="shared" si="21"/>
        <v>0</v>
      </c>
      <c r="G41" s="8">
        <f t="shared" si="22"/>
        <v>3.0000000000000001E-3</v>
      </c>
      <c r="H41" s="8">
        <f t="shared" si="14"/>
        <v>8.0000000000000004E-4</v>
      </c>
      <c r="I41" s="8"/>
      <c r="J41" s="11">
        <f t="shared" si="24"/>
        <v>1.4999999999999999E-2</v>
      </c>
      <c r="K41" s="9">
        <f t="shared" si="16"/>
        <v>0.05</v>
      </c>
      <c r="M41" s="9">
        <f t="shared" si="17"/>
        <v>1E-3</v>
      </c>
      <c r="O41" s="9">
        <f t="shared" si="18"/>
        <v>5.0000000000000001E-3</v>
      </c>
      <c r="P41" s="9">
        <f t="shared" si="19"/>
        <v>5.5E-2</v>
      </c>
    </row>
    <row r="42" spans="1:16">
      <c r="A42" s="7">
        <f t="shared" si="11"/>
        <v>2058</v>
      </c>
      <c r="B42" s="86">
        <f t="shared" si="8"/>
        <v>5.3800000000000001E-2</v>
      </c>
      <c r="C42" s="8">
        <f t="shared" si="9"/>
        <v>5.3800000000000001E-2</v>
      </c>
      <c r="D42" s="8">
        <f t="shared" si="23"/>
        <v>3.5000000000000003E-2</v>
      </c>
      <c r="E42" s="8">
        <f t="shared" si="10"/>
        <v>5.2999999999999999E-2</v>
      </c>
      <c r="F42" s="8">
        <f t="shared" si="21"/>
        <v>0</v>
      </c>
      <c r="G42" s="8">
        <f t="shared" si="22"/>
        <v>3.0000000000000001E-3</v>
      </c>
      <c r="H42" s="8">
        <f t="shared" si="14"/>
        <v>8.0000000000000004E-4</v>
      </c>
      <c r="I42" s="8"/>
      <c r="J42" s="11">
        <f t="shared" si="24"/>
        <v>1.4999999999999999E-2</v>
      </c>
      <c r="K42" s="9">
        <f t="shared" si="16"/>
        <v>0.05</v>
      </c>
      <c r="M42" s="9">
        <f t="shared" si="17"/>
        <v>1E-3</v>
      </c>
      <c r="O42" s="9">
        <f t="shared" si="18"/>
        <v>5.0000000000000001E-3</v>
      </c>
      <c r="P42" s="9">
        <f t="shared" si="19"/>
        <v>5.5E-2</v>
      </c>
    </row>
    <row r="43" spans="1:16">
      <c r="A43" s="7">
        <f t="shared" si="11"/>
        <v>2059</v>
      </c>
      <c r="B43" s="86">
        <f t="shared" si="8"/>
        <v>5.3800000000000001E-2</v>
      </c>
      <c r="C43" s="8">
        <f t="shared" si="9"/>
        <v>5.3800000000000001E-2</v>
      </c>
      <c r="D43" s="8">
        <f t="shared" si="23"/>
        <v>3.5000000000000003E-2</v>
      </c>
      <c r="E43" s="8">
        <f t="shared" si="10"/>
        <v>5.2999999999999999E-2</v>
      </c>
      <c r="F43" s="8">
        <f t="shared" si="21"/>
        <v>0</v>
      </c>
      <c r="G43" s="8">
        <f t="shared" si="22"/>
        <v>3.0000000000000001E-3</v>
      </c>
      <c r="H43" s="8">
        <f t="shared" si="14"/>
        <v>8.0000000000000004E-4</v>
      </c>
      <c r="I43" s="8"/>
      <c r="J43" s="11">
        <f t="shared" si="24"/>
        <v>1.4999999999999999E-2</v>
      </c>
      <c r="K43" s="9">
        <f t="shared" si="16"/>
        <v>0.05</v>
      </c>
      <c r="M43" s="9">
        <f t="shared" si="17"/>
        <v>1E-3</v>
      </c>
      <c r="O43" s="9">
        <f t="shared" si="18"/>
        <v>5.0000000000000001E-3</v>
      </c>
      <c r="P43" s="9">
        <f t="shared" si="19"/>
        <v>5.5E-2</v>
      </c>
    </row>
    <row r="44" spans="1:16">
      <c r="A44" s="7">
        <f t="shared" si="11"/>
        <v>2060</v>
      </c>
      <c r="B44" s="86">
        <f t="shared" si="8"/>
        <v>5.3800000000000001E-2</v>
      </c>
      <c r="C44" s="8">
        <f t="shared" si="9"/>
        <v>5.3800000000000001E-2</v>
      </c>
      <c r="D44" s="8">
        <f t="shared" si="23"/>
        <v>3.5000000000000003E-2</v>
      </c>
      <c r="E44" s="8">
        <f t="shared" si="10"/>
        <v>5.2999999999999999E-2</v>
      </c>
      <c r="F44" s="8">
        <f t="shared" si="21"/>
        <v>0</v>
      </c>
      <c r="G44" s="8">
        <f t="shared" si="22"/>
        <v>3.0000000000000001E-3</v>
      </c>
      <c r="H44" s="8">
        <f t="shared" si="14"/>
        <v>8.0000000000000004E-4</v>
      </c>
      <c r="I44" s="8"/>
      <c r="J44" s="11">
        <f t="shared" si="24"/>
        <v>1.4999999999999999E-2</v>
      </c>
      <c r="K44" s="9">
        <f t="shared" si="16"/>
        <v>0.05</v>
      </c>
      <c r="M44" s="9">
        <f t="shared" si="17"/>
        <v>1E-3</v>
      </c>
      <c r="O44" s="9">
        <f t="shared" si="18"/>
        <v>5.0000000000000001E-3</v>
      </c>
      <c r="P44" s="9">
        <f t="shared" si="19"/>
        <v>5.5E-2</v>
      </c>
    </row>
    <row r="45" spans="1:16" s="107" customFormat="1" ht="7">
      <c r="A45" s="95"/>
      <c r="B45" s="95"/>
    </row>
    <row r="46" spans="1:16">
      <c r="A46" s="219" t="s">
        <v>199</v>
      </c>
      <c r="B46" s="219"/>
      <c r="C46" s="219"/>
      <c r="D46" s="219"/>
      <c r="E46" s="17">
        <v>0.65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</row>
    <row r="47" spans="1:16">
      <c r="A47" s="219" t="s">
        <v>200</v>
      </c>
      <c r="B47" s="219"/>
      <c r="C47" s="219"/>
      <c r="D47" s="219"/>
      <c r="E47" s="17">
        <v>0.65</v>
      </c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</row>
    <row r="48" spans="1:16">
      <c r="A48" s="219" t="s">
        <v>175</v>
      </c>
      <c r="B48" s="219"/>
      <c r="C48" s="219"/>
      <c r="D48" s="219"/>
      <c r="E48" s="17">
        <v>0.66</v>
      </c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</row>
    <row r="49" spans="1:16" s="107" customFormat="1" ht="7">
      <c r="A49" s="95"/>
      <c r="B49" s="95"/>
    </row>
    <row r="50" spans="1:16">
      <c r="A50" s="222" t="s">
        <v>80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</row>
    <row r="51" spans="1:16">
      <c r="A51" s="7"/>
      <c r="B51" s="7"/>
    </row>
    <row r="52" spans="1:16">
      <c r="C52" s="126" t="s">
        <v>126</v>
      </c>
    </row>
    <row r="53" spans="1:16">
      <c r="C53" s="223" t="str">
        <f>A56</f>
        <v>Scheduled Retirement of Debt after the 2023 A Bonds</v>
      </c>
      <c r="D53" s="223"/>
      <c r="E53" s="223"/>
      <c r="F53" s="223"/>
      <c r="G53" s="223"/>
    </row>
    <row r="54" spans="1:16">
      <c r="D54" s="20"/>
    </row>
    <row r="55" spans="1:16">
      <c r="C55" s="12" t="s">
        <v>126</v>
      </c>
      <c r="E55" s="18"/>
      <c r="F55" s="220" t="s">
        <v>127</v>
      </c>
      <c r="G55" s="220"/>
    </row>
    <row r="56" spans="1:16">
      <c r="A56" s="225" t="s">
        <v>206</v>
      </c>
      <c r="B56" s="225"/>
      <c r="C56" s="225"/>
      <c r="D56" s="225"/>
      <c r="E56" s="225"/>
      <c r="F56" s="224">
        <v>80000000</v>
      </c>
      <c r="G56" s="224"/>
    </row>
    <row r="57" spans="1:16">
      <c r="A57" s="225" t="s">
        <v>205</v>
      </c>
      <c r="B57" s="225"/>
      <c r="C57" s="225"/>
      <c r="D57" s="225"/>
      <c r="E57" s="225"/>
      <c r="F57" s="224">
        <v>100000000</v>
      </c>
      <c r="G57" s="224"/>
    </row>
    <row r="58" spans="1:16">
      <c r="A58" s="225" t="s">
        <v>207</v>
      </c>
      <c r="B58" s="225"/>
      <c r="C58" s="225"/>
      <c r="D58" s="225"/>
      <c r="E58" s="225"/>
      <c r="F58" s="224">
        <v>0</v>
      </c>
      <c r="G58" s="224"/>
    </row>
    <row r="61" spans="1:16">
      <c r="C61" s="226" t="s">
        <v>130</v>
      </c>
      <c r="D61" s="226"/>
      <c r="E61" s="226"/>
    </row>
    <row r="62" spans="1:16">
      <c r="C62" s="121">
        <v>1</v>
      </c>
      <c r="E62" s="122">
        <f>1-C62</f>
        <v>0</v>
      </c>
    </row>
    <row r="63" spans="1:16">
      <c r="C63" s="14">
        <f>ROUND(VLOOKUP(C67, Coverage!A12:K48, Coverage!K1, FALSE), 0)</f>
        <v>50605875</v>
      </c>
    </row>
    <row r="64" spans="1:16">
      <c r="C64" s="226" t="s">
        <v>189</v>
      </c>
      <c r="D64" s="226"/>
      <c r="E64" s="226"/>
      <c r="F64" s="226"/>
      <c r="G64" s="226"/>
      <c r="H64" s="226"/>
      <c r="I64" s="226"/>
      <c r="J64" s="226"/>
      <c r="K64" s="226"/>
    </row>
    <row r="66" spans="3:3">
      <c r="C66" s="68" t="s">
        <v>95</v>
      </c>
    </row>
    <row r="67" spans="3:3">
      <c r="C67" s="18">
        <f>'Debt Service'!A72</f>
        <v>2057</v>
      </c>
    </row>
  </sheetData>
  <mergeCells count="17">
    <mergeCell ref="F58:G58"/>
    <mergeCell ref="A56:E56"/>
    <mergeCell ref="A57:E57"/>
    <mergeCell ref="A58:E58"/>
    <mergeCell ref="C64:K64"/>
    <mergeCell ref="C61:E61"/>
    <mergeCell ref="A50:P50"/>
    <mergeCell ref="C53:G53"/>
    <mergeCell ref="F55:G55"/>
    <mergeCell ref="F56:G56"/>
    <mergeCell ref="F57:G57"/>
    <mergeCell ref="A47:D47"/>
    <mergeCell ref="A48:D48"/>
    <mergeCell ref="F3:H3"/>
    <mergeCell ref="J3:K3"/>
    <mergeCell ref="F4:H4"/>
    <mergeCell ref="A46:D46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3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7" sqref="A7"/>
      <selection pane="bottomRight" activeCell="X37" sqref="X37"/>
    </sheetView>
  </sheetViews>
  <sheetFormatPr baseColWidth="10" defaultRowHeight="13" outlineLevelRow="1" outlineLevelCol="1"/>
  <cols>
    <col min="1" max="1" width="6.5" customWidth="1"/>
    <col min="2" max="2" width="12.1640625" bestFit="1" customWidth="1"/>
    <col min="3" max="3" width="13.1640625" bestFit="1" customWidth="1"/>
    <col min="4" max="4" width="12.1640625" bestFit="1" customWidth="1"/>
    <col min="5" max="5" width="13.1640625" bestFit="1" customWidth="1"/>
    <col min="6" max="6" width="2.1640625" bestFit="1" customWidth="1"/>
    <col min="7" max="7" width="13.1640625" bestFit="1" customWidth="1"/>
    <col min="8" max="9" width="14.6640625" bestFit="1" customWidth="1"/>
    <col min="10" max="10" width="3.1640625" bestFit="1" customWidth="1"/>
    <col min="11" max="11" width="13.1640625" bestFit="1" customWidth="1"/>
    <col min="12" max="12" width="10.5" bestFit="1" customWidth="1"/>
    <col min="13" max="13" width="2.1640625" customWidth="1"/>
    <col min="14" max="14" width="7.1640625" bestFit="1" customWidth="1"/>
    <col min="15" max="15" width="7.1640625" hidden="1" customWidth="1" outlineLevel="1"/>
    <col min="16" max="16" width="7.1640625" bestFit="1" customWidth="1" collapsed="1"/>
    <col min="17" max="17" width="7.1640625" bestFit="1" customWidth="1"/>
  </cols>
  <sheetData>
    <row r="1" spans="1:17">
      <c r="A1" s="10">
        <f>1</f>
        <v>1</v>
      </c>
      <c r="B1" s="10">
        <f>A1+1</f>
        <v>2</v>
      </c>
      <c r="C1" s="10">
        <f t="shared" ref="C1:H1" si="0">B1+1</f>
        <v>3</v>
      </c>
      <c r="D1" s="10">
        <f t="shared" si="0"/>
        <v>4</v>
      </c>
      <c r="E1" s="10">
        <f t="shared" si="0"/>
        <v>5</v>
      </c>
      <c r="F1" s="10">
        <f t="shared" si="0"/>
        <v>6</v>
      </c>
      <c r="G1" s="10">
        <f t="shared" si="0"/>
        <v>7</v>
      </c>
      <c r="H1" s="10">
        <f t="shared" si="0"/>
        <v>8</v>
      </c>
      <c r="I1" s="10">
        <f t="shared" ref="I1:L1" si="1">H1+1</f>
        <v>9</v>
      </c>
      <c r="J1" s="10">
        <f t="shared" si="1"/>
        <v>10</v>
      </c>
      <c r="K1" s="10">
        <f t="shared" si="1"/>
        <v>11</v>
      </c>
      <c r="L1" s="10">
        <f t="shared" si="1"/>
        <v>12</v>
      </c>
    </row>
    <row r="2" spans="1:17" ht="18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7" ht="18">
      <c r="A3" s="227" t="s">
        <v>164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7" ht="18">
      <c r="B4" s="190"/>
      <c r="C4" s="202"/>
      <c r="D4" s="203" t="s">
        <v>186</v>
      </c>
      <c r="E4" s="232" t="str">
        <f>Assumptions!C53</f>
        <v>Scheduled Retirement of Debt after the 2023 A Bonds</v>
      </c>
      <c r="F4" s="232"/>
      <c r="G4" s="232"/>
      <c r="H4" s="232"/>
      <c r="I4" s="232"/>
      <c r="J4" s="232"/>
      <c r="K4" s="190"/>
      <c r="L4" s="190"/>
    </row>
    <row r="5" spans="1:17" s="107" customFormat="1" ht="18">
      <c r="A5" s="118"/>
      <c r="B5" s="118"/>
      <c r="C5" s="230" t="s">
        <v>210</v>
      </c>
      <c r="D5" s="230"/>
      <c r="E5" s="230"/>
      <c r="F5" s="230"/>
      <c r="G5" s="230"/>
      <c r="H5" s="218">
        <f>Assumptions!D18</f>
        <v>3.5000000000000003E-2</v>
      </c>
      <c r="I5" s="202"/>
      <c r="J5" s="204"/>
      <c r="K5" s="118"/>
      <c r="L5" s="118"/>
    </row>
    <row r="6" spans="1:17" ht="14">
      <c r="A6" s="21"/>
      <c r="B6" s="21"/>
      <c r="C6" s="21"/>
      <c r="D6" s="21"/>
      <c r="E6" s="21"/>
      <c r="F6" s="21"/>
      <c r="G6" s="21"/>
      <c r="H6" s="21"/>
      <c r="J6" s="21"/>
      <c r="K6" s="231" t="s">
        <v>89</v>
      </c>
      <c r="L6" s="231"/>
    </row>
    <row r="7" spans="1:17" s="23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28" t="s">
        <v>88</v>
      </c>
      <c r="L7" s="228"/>
      <c r="N7" s="237"/>
      <c r="O7" s="237"/>
      <c r="P7" s="237"/>
      <c r="Q7" s="237"/>
    </row>
    <row r="8" spans="1:17">
      <c r="B8" s="228" t="s">
        <v>84</v>
      </c>
      <c r="C8" s="228"/>
      <c r="D8" s="228"/>
      <c r="E8" s="228"/>
      <c r="F8" s="1"/>
      <c r="K8" s="1" t="s">
        <v>92</v>
      </c>
      <c r="L8" s="1"/>
      <c r="N8" s="236" t="s">
        <v>190</v>
      </c>
      <c r="O8" s="236"/>
      <c r="P8" s="236"/>
      <c r="Q8" s="236"/>
    </row>
    <row r="9" spans="1:17">
      <c r="B9" s="1" t="s">
        <v>65</v>
      </c>
      <c r="C9" s="1" t="s">
        <v>82</v>
      </c>
      <c r="D9" s="1" t="s">
        <v>67</v>
      </c>
      <c r="E9" s="1"/>
      <c r="F9" s="1"/>
      <c r="G9" s="228" t="s">
        <v>67</v>
      </c>
      <c r="H9" s="228"/>
      <c r="I9" s="228"/>
      <c r="K9" s="1" t="s">
        <v>93</v>
      </c>
      <c r="L9" s="1" t="s">
        <v>94</v>
      </c>
      <c r="N9" s="235" t="s">
        <v>208</v>
      </c>
      <c r="O9" s="235"/>
      <c r="P9" s="235"/>
      <c r="Q9" s="235"/>
    </row>
    <row r="10" spans="1:17">
      <c r="A10" s="12" t="str">
        <f>Assumptions!A6</f>
        <v>Year</v>
      </c>
      <c r="B10" s="12" t="s">
        <v>105</v>
      </c>
      <c r="C10" s="12" t="s">
        <v>106</v>
      </c>
      <c r="D10" s="12" t="s">
        <v>83</v>
      </c>
      <c r="E10" s="12" t="s">
        <v>7</v>
      </c>
      <c r="F10" s="12"/>
      <c r="G10" s="12" t="s">
        <v>107</v>
      </c>
      <c r="H10" s="12" t="s">
        <v>6</v>
      </c>
      <c r="I10" s="12" t="s">
        <v>7</v>
      </c>
      <c r="K10" s="12" t="s">
        <v>67</v>
      </c>
      <c r="L10" s="12" t="s">
        <v>87</v>
      </c>
      <c r="N10" s="200">
        <v>1.4999999999999999E-2</v>
      </c>
      <c r="O10" s="200">
        <f>Assumptions!D8</f>
        <v>3.5000000000000003E-2</v>
      </c>
      <c r="P10" s="200">
        <v>0.05</v>
      </c>
      <c r="Q10" s="200">
        <v>0.08</v>
      </c>
    </row>
    <row r="11" spans="1:17" s="107" customFormat="1" ht="7"/>
    <row r="12" spans="1:17">
      <c r="A12" s="18">
        <f>Assumptions!A8</f>
        <v>2024</v>
      </c>
      <c r="B12" s="24">
        <f>'Revenue Fund Cash Flow'!J8-SUM('Revenue Fund Cash Flow'!L8:N8)</f>
        <v>49173398.472999997</v>
      </c>
      <c r="C12" s="24">
        <f>IF(A12&gt;'Loan Origination'!$A$5,0,HLOOKUP($A12,'Loan Origination'!$B$56:$AM$60,'Loan Origination'!$AP$60,FALSE))</f>
        <v>242185650</v>
      </c>
      <c r="D12" s="24">
        <f>'Debt Service'!EC205</f>
        <v>75023000</v>
      </c>
      <c r="E12" s="24">
        <f t="shared" ref="E12:E43" si="2">SUM(B12:D12)</f>
        <v>366382048.47299999</v>
      </c>
      <c r="F12" s="24"/>
      <c r="G12" s="24">
        <f>ROUND('Debt Service'!EB11, 0)</f>
        <v>49411860</v>
      </c>
      <c r="H12" s="24">
        <f>'Debt Service'!EA11</f>
        <v>50000000</v>
      </c>
      <c r="I12" s="24">
        <f>SUM(G12:H12)</f>
        <v>99411860</v>
      </c>
      <c r="K12" s="24">
        <f t="shared" ref="K12" si="3">E12-I12</f>
        <v>266970188.47299999</v>
      </c>
      <c r="L12" s="26">
        <f t="shared" ref="L12:L30" si="4">IF(I12&gt;0, 1+(K12/$I12), "***")</f>
        <v>3.6854963630395807</v>
      </c>
      <c r="N12" s="26">
        <v>3.6743260182263096</v>
      </c>
      <c r="O12" s="26">
        <v>3.6854963630395807</v>
      </c>
      <c r="P12" s="26">
        <v>3.7051211291389174</v>
      </c>
      <c r="Q12" s="26">
        <v>3.7443706613375909</v>
      </c>
    </row>
    <row r="13" spans="1:17">
      <c r="A13" s="18">
        <f>Assumptions!A9</f>
        <v>2025</v>
      </c>
      <c r="B13" s="25">
        <f>'Revenue Fund Cash Flow'!J9-SUM('Revenue Fund Cash Flow'!L9:N9)</f>
        <v>48909156.090999998</v>
      </c>
      <c r="C13" s="25">
        <f>IF(A13&gt;'Loan Origination'!$A$5,0,HLOOKUP($A13,'Loan Origination'!$B$56:$AM$60,'Loan Origination'!$AP$60,FALSE))</f>
        <v>212368550</v>
      </c>
      <c r="D13" s="25">
        <f>VLOOKUP($A13-1, 'Debt Service'!$DZ$206:$EC$242, 'Debt Service'!$EC$201, FALSE)</f>
        <v>73031000</v>
      </c>
      <c r="E13" s="27">
        <f t="shared" si="2"/>
        <v>334308706.09099996</v>
      </c>
      <c r="F13" s="25"/>
      <c r="G13" s="25">
        <f>ROUND('Debt Service'!EB12, 0)</f>
        <v>46911860</v>
      </c>
      <c r="H13" s="25">
        <f>'Debt Service'!EA12</f>
        <v>0</v>
      </c>
      <c r="I13" s="25">
        <f t="shared" ref="I13:I41" si="5">SUM(G13:H13)</f>
        <v>46911860</v>
      </c>
      <c r="J13" s="25"/>
      <c r="K13" s="25">
        <f t="shared" ref="K13:K41" si="6">E13-I13</f>
        <v>287396846.09099996</v>
      </c>
      <c r="L13" s="26">
        <f t="shared" si="4"/>
        <v>7.1263153089858289</v>
      </c>
      <c r="N13" s="26">
        <v>7.2364040871390465</v>
      </c>
      <c r="O13" s="26">
        <v>7.1263153089858289</v>
      </c>
      <c r="P13" s="26">
        <v>7.063089531659962</v>
      </c>
      <c r="Q13" s="26">
        <v>6.9455909161300919</v>
      </c>
    </row>
    <row r="14" spans="1:17">
      <c r="A14" s="18">
        <f>Assumptions!A10</f>
        <v>2026</v>
      </c>
      <c r="B14" s="25">
        <f>'Revenue Fund Cash Flow'!J10-SUM('Revenue Fund Cash Flow'!L10:N10)</f>
        <v>49006883.886</v>
      </c>
      <c r="C14" s="25">
        <f>IF(A14&gt;'Loan Origination'!$A$5,0,HLOOKUP($A14,'Loan Origination'!$B$56:$AM$60,'Loan Origination'!$AP$60,FALSE))</f>
        <v>223306650</v>
      </c>
      <c r="D14" s="25">
        <f>VLOOKUP($A14-1, 'Debt Service'!$DZ$206:$EC$242, 'Debt Service'!$EC$201, FALSE)</f>
        <v>73031000</v>
      </c>
      <c r="E14" s="27">
        <f t="shared" si="2"/>
        <v>345344533.88599998</v>
      </c>
      <c r="F14" s="25"/>
      <c r="G14" s="25">
        <f>ROUND('Debt Service'!EB13, 0)</f>
        <v>46911860</v>
      </c>
      <c r="H14" s="25">
        <f>'Debt Service'!EA13</f>
        <v>0</v>
      </c>
      <c r="I14" s="25">
        <f t="shared" si="5"/>
        <v>46911860</v>
      </c>
      <c r="J14" s="25"/>
      <c r="K14" s="25">
        <f t="shared" si="6"/>
        <v>298432673.88599998</v>
      </c>
      <c r="L14" s="26">
        <f t="shared" si="4"/>
        <v>7.3615613170315566</v>
      </c>
      <c r="N14" s="26">
        <v>7.6265797715471422</v>
      </c>
      <c r="O14" s="26">
        <v>7.3615613170315566</v>
      </c>
      <c r="P14" s="26">
        <v>7.1955788719708282</v>
      </c>
      <c r="Q14" s="26">
        <v>6.8962330158311138</v>
      </c>
    </row>
    <row r="15" spans="1:17">
      <c r="A15" s="18">
        <f>Assumptions!A11</f>
        <v>2027</v>
      </c>
      <c r="B15" s="25">
        <f>'Revenue Fund Cash Flow'!J11-SUM('Revenue Fund Cash Flow'!L11:N11)</f>
        <v>48924402.730500005</v>
      </c>
      <c r="C15" s="25">
        <f>IF(A15&gt;'Loan Origination'!$A$5,0,HLOOKUP($A15,'Loan Origination'!$B$56:$AM$60,'Loan Origination'!$AP$60,FALSE))</f>
        <v>234077950</v>
      </c>
      <c r="D15" s="25">
        <f>VLOOKUP($A15-1, 'Debt Service'!$DZ$206:$EC$242, 'Debt Service'!$EC$201, FALSE)</f>
        <v>73031000</v>
      </c>
      <c r="E15" s="27">
        <f t="shared" si="2"/>
        <v>356033352.73049998</v>
      </c>
      <c r="F15" s="25"/>
      <c r="G15" s="25">
        <f>ROUND('Debt Service'!EB14, 0)</f>
        <v>46911860</v>
      </c>
      <c r="H15" s="25">
        <f>'Debt Service'!EA14</f>
        <v>16815000</v>
      </c>
      <c r="I15" s="25">
        <f t="shared" si="5"/>
        <v>63726860</v>
      </c>
      <c r="J15" s="25"/>
      <c r="K15" s="25">
        <f t="shared" si="6"/>
        <v>292306492.73049998</v>
      </c>
      <c r="L15" s="26">
        <f t="shared" si="4"/>
        <v>5.5868648279626516</v>
      </c>
      <c r="N15" s="26">
        <v>5.8052087762774462</v>
      </c>
      <c r="O15" s="26">
        <v>5.5868648279626516</v>
      </c>
      <c r="P15" s="26">
        <v>5.4524947841314519</v>
      </c>
      <c r="Q15" s="26">
        <v>5.2112382753666973</v>
      </c>
    </row>
    <row r="16" spans="1:17">
      <c r="A16" s="10">
        <f>Assumptions!A12</f>
        <v>2028</v>
      </c>
      <c r="B16" s="209">
        <f>'Revenue Fund Cash Flow'!J12-SUM('Revenue Fund Cash Flow'!L12:N12)</f>
        <v>45770042.866666675</v>
      </c>
      <c r="C16" s="209">
        <f>IF(A16&gt;'Loan Origination'!$A$5,0,HLOOKUP($A16,'Loan Origination'!$B$56:$AM$60,'Loan Origination'!$AP$60,FALSE))</f>
        <v>249175050</v>
      </c>
      <c r="D16" s="209">
        <f>VLOOKUP($A16-1, 'Debt Service'!$DZ$206:$EC$242, 'Debt Service'!$EC$201, FALSE)</f>
        <v>71349500</v>
      </c>
      <c r="E16" s="209">
        <f t="shared" si="2"/>
        <v>366294592.86666667</v>
      </c>
      <c r="F16" s="209"/>
      <c r="G16" s="209">
        <f>ROUND('Debt Service'!EB15, 0)</f>
        <v>45748405</v>
      </c>
      <c r="H16" s="209">
        <f>'Debt Service'!EA15</f>
        <v>219535000</v>
      </c>
      <c r="I16" s="209">
        <f t="shared" si="5"/>
        <v>265283405</v>
      </c>
      <c r="J16" s="209"/>
      <c r="K16" s="209">
        <f t="shared" si="6"/>
        <v>101011187.86666667</v>
      </c>
      <c r="L16" s="210">
        <f t="shared" si="4"/>
        <v>1.3807670814036284</v>
      </c>
      <c r="M16" s="110"/>
      <c r="N16" s="210">
        <v>1.3852506924198702</v>
      </c>
      <c r="O16" s="210">
        <v>1.3807670814036284</v>
      </c>
      <c r="P16" s="210">
        <v>1.3806658594133348</v>
      </c>
      <c r="Q16" s="210">
        <v>1.3805539539602267</v>
      </c>
    </row>
    <row r="17" spans="1:20">
      <c r="A17" s="18">
        <f>Assumptions!A13</f>
        <v>2029</v>
      </c>
      <c r="B17" s="27">
        <f>'Revenue Fund Cash Flow'!J13-SUM('Revenue Fund Cash Flow'!L13:N13)</f>
        <v>33691274.328999996</v>
      </c>
      <c r="C17" s="27">
        <f>IF(A17&gt;'Loan Origination'!$A$5,0,HLOOKUP($A17,'Loan Origination'!$B$56:$AM$60,'Loan Origination'!$AP$60,FALSE))</f>
        <v>117346250</v>
      </c>
      <c r="D17" s="27">
        <f>VLOOKUP($A17-1, 'Debt Service'!$DZ$206:$EC$242, 'Debt Service'!$EC$201, FALSE)</f>
        <v>49396000</v>
      </c>
      <c r="E17" s="27">
        <f t="shared" si="2"/>
        <v>200433524.329</v>
      </c>
      <c r="F17" s="27"/>
      <c r="G17" s="27">
        <f>ROUND('Debt Service'!EB16, 0)</f>
        <v>33223980</v>
      </c>
      <c r="H17" s="27">
        <f>'Debt Service'!EA16</f>
        <v>67000000</v>
      </c>
      <c r="I17" s="27">
        <f t="shared" si="5"/>
        <v>100223980</v>
      </c>
      <c r="J17" s="27"/>
      <c r="K17" s="27">
        <f t="shared" si="6"/>
        <v>100209544.329</v>
      </c>
      <c r="L17" s="28">
        <f t="shared" si="4"/>
        <v>1.9998559658975825</v>
      </c>
      <c r="N17" s="28">
        <v>2.0521599477819361</v>
      </c>
      <c r="O17" s="28">
        <v>1.9998559658975825</v>
      </c>
      <c r="P17" s="28">
        <v>1.9687770111351679</v>
      </c>
      <c r="Q17" s="28">
        <v>1.9133073455140401</v>
      </c>
      <c r="T17" s="123"/>
    </row>
    <row r="18" spans="1:20">
      <c r="A18" s="18">
        <f>Assumptions!A14</f>
        <v>2030</v>
      </c>
      <c r="B18" s="27">
        <f>'Revenue Fund Cash Flow'!J14-SUM('Revenue Fund Cash Flow'!L14:N14)</f>
        <v>33216619.497500002</v>
      </c>
      <c r="C18" s="27">
        <f>IF(A18&gt;'Loan Origination'!$A$5,0,HLOOKUP($A18,'Loan Origination'!$B$56:$AM$60,'Loan Origination'!$AP$60,FALSE))</f>
        <v>120333250</v>
      </c>
      <c r="D18" s="27">
        <f>VLOOKUP($A18-1, 'Debt Service'!$DZ$206:$EC$242, 'Debt Service'!$EC$201, FALSE)</f>
        <v>46516000</v>
      </c>
      <c r="E18" s="27">
        <f t="shared" si="2"/>
        <v>200065869.4975</v>
      </c>
      <c r="F18" s="27"/>
      <c r="G18" s="27">
        <f>ROUND('Debt Service'!EB17, 0)</f>
        <v>31748980</v>
      </c>
      <c r="H18" s="27">
        <f>'Debt Service'!EA17</f>
        <v>5000000</v>
      </c>
      <c r="I18" s="27">
        <f t="shared" si="5"/>
        <v>36748980</v>
      </c>
      <c r="J18" s="27"/>
      <c r="K18" s="27">
        <f t="shared" si="6"/>
        <v>163316889.4975</v>
      </c>
      <c r="L18" s="28">
        <f t="shared" si="4"/>
        <v>5.4441203401427742</v>
      </c>
      <c r="N18" s="28">
        <v>6.3311215681697934</v>
      </c>
      <c r="O18" s="28">
        <v>5.4441203401427742</v>
      </c>
      <c r="P18" s="28">
        <v>4.9607109036021928</v>
      </c>
      <c r="Q18" s="28">
        <v>4.2599793479601571</v>
      </c>
    </row>
    <row r="19" spans="1:20">
      <c r="A19" s="18">
        <f>Assumptions!A15</f>
        <v>2031</v>
      </c>
      <c r="B19" s="27">
        <f>'Revenue Fund Cash Flow'!J15-SUM('Revenue Fund Cash Flow'!L15:N15)</f>
        <v>33259377.522499993</v>
      </c>
      <c r="C19" s="27">
        <f>IF(A19&gt;'Loan Origination'!$A$5,0,HLOOKUP($A19,'Loan Origination'!$B$56:$AM$60,'Loan Origination'!$AP$60,FALSE))</f>
        <v>112781250</v>
      </c>
      <c r="D19" s="27">
        <f>VLOOKUP($A19-1, 'Debt Service'!$DZ$206:$EC$242, 'Debt Service'!$EC$201, FALSE)</f>
        <v>46206000</v>
      </c>
      <c r="E19" s="27">
        <f t="shared" si="2"/>
        <v>192246627.52249998</v>
      </c>
      <c r="F19" s="27"/>
      <c r="G19" s="27">
        <f>ROUND('Debt Service'!EB18, 0)</f>
        <v>31623980</v>
      </c>
      <c r="H19" s="27">
        <f>'Debt Service'!EA18</f>
        <v>0</v>
      </c>
      <c r="I19" s="27">
        <f t="shared" si="5"/>
        <v>31623980</v>
      </c>
      <c r="J19" s="27"/>
      <c r="K19" s="27">
        <f t="shared" si="6"/>
        <v>160622647.52249998</v>
      </c>
      <c r="L19" s="28">
        <f t="shared" si="4"/>
        <v>6.0791408141068892</v>
      </c>
      <c r="N19" s="28">
        <v>7.5529590968840727</v>
      </c>
      <c r="O19" s="28">
        <v>6.0791408141068892</v>
      </c>
      <c r="P19" s="28">
        <v>5.3576732976597485</v>
      </c>
      <c r="Q19" s="28">
        <v>4.4033319495243131</v>
      </c>
    </row>
    <row r="20" spans="1:20">
      <c r="A20" s="10">
        <f>Assumptions!A16</f>
        <v>2032</v>
      </c>
      <c r="B20" s="209">
        <f>'Revenue Fund Cash Flow'!J16-SUM('Revenue Fund Cash Flow'!L16:N16)</f>
        <v>32868266.49916666</v>
      </c>
      <c r="C20" s="209">
        <f>IF(A20&gt;'Loan Origination'!$A$5,0,HLOOKUP($A20,'Loan Origination'!$B$56:$AM$60,'Loan Origination'!$AP$60,FALSE))</f>
        <v>173220250</v>
      </c>
      <c r="D20" s="209">
        <f>VLOOKUP($A20-1, 'Debt Service'!$DZ$206:$EC$242, 'Debt Service'!$EC$201, FALSE)</f>
        <v>46206000</v>
      </c>
      <c r="E20" s="209">
        <f t="shared" si="2"/>
        <v>252294516.49916667</v>
      </c>
      <c r="F20" s="209"/>
      <c r="G20" s="209">
        <f>ROUND('Debt Service'!EB19, 0)</f>
        <v>31623980</v>
      </c>
      <c r="H20" s="209">
        <f>'Debt Service'!EA19</f>
        <v>125000000</v>
      </c>
      <c r="I20" s="209">
        <f t="shared" si="5"/>
        <v>156623980</v>
      </c>
      <c r="J20" s="209"/>
      <c r="K20" s="209">
        <f t="shared" si="6"/>
        <v>95670536.499166667</v>
      </c>
      <c r="L20" s="210">
        <f t="shared" si="4"/>
        <v>1.6108294304560942</v>
      </c>
      <c r="M20" s="110"/>
      <c r="N20" s="210">
        <v>1.5776776516666251</v>
      </c>
      <c r="O20" s="210">
        <v>1.6108294304560942</v>
      </c>
      <c r="P20" s="210">
        <v>1.5887832504366124</v>
      </c>
      <c r="Q20" s="210">
        <v>1.5499571318912428</v>
      </c>
    </row>
    <row r="21" spans="1:20">
      <c r="A21" s="18">
        <f>Assumptions!A17</f>
        <v>2033</v>
      </c>
      <c r="B21" s="27">
        <f>'Revenue Fund Cash Flow'!J17-SUM('Revenue Fund Cash Flow'!L17:N17)</f>
        <v>25433477.313547656</v>
      </c>
      <c r="C21" s="27">
        <f>IF(A21&gt;'Loan Origination'!$A$5,0,HLOOKUP($A21,'Loan Origination'!$B$56:$AM$60,'Loan Origination'!$AP$60,FALSE))</f>
        <v>115831250</v>
      </c>
      <c r="D21" s="27">
        <f>VLOOKUP($A21-1, 'Debt Service'!$DZ$206:$EC$242, 'Debt Service'!$EC$201, FALSE)</f>
        <v>33706000</v>
      </c>
      <c r="E21" s="27">
        <f t="shared" si="2"/>
        <v>174970727.31354767</v>
      </c>
      <c r="F21" s="27"/>
      <c r="G21" s="27">
        <f>ROUND('Debt Service'!EB20, 0)</f>
        <v>24436480</v>
      </c>
      <c r="H21" s="27">
        <f>'Debt Service'!EA20</f>
        <v>60000000</v>
      </c>
      <c r="I21" s="27">
        <f t="shared" si="5"/>
        <v>84436480</v>
      </c>
      <c r="J21" s="27"/>
      <c r="K21" s="27">
        <f t="shared" si="6"/>
        <v>90534247.313547671</v>
      </c>
      <c r="L21" s="28">
        <f t="shared" si="4"/>
        <v>2.0722172136207915</v>
      </c>
      <c r="N21" s="28">
        <v>2.085445081896399</v>
      </c>
      <c r="O21" s="28">
        <v>2.0722172136207915</v>
      </c>
      <c r="P21" s="28">
        <v>1.9848304429087966</v>
      </c>
      <c r="Q21" s="28">
        <v>1.8458837149097551</v>
      </c>
    </row>
    <row r="22" spans="1:20">
      <c r="A22" s="18">
        <f>Assumptions!A18</f>
        <v>2034</v>
      </c>
      <c r="B22" s="25">
        <f>'Revenue Fund Cash Flow'!J18-SUM('Revenue Fund Cash Flow'!L18:N18)</f>
        <v>24524161.822500005</v>
      </c>
      <c r="C22" s="25">
        <f>IF(A22&gt;'Loan Origination'!$A$5,0,HLOOKUP($A22,'Loan Origination'!$B$56:$AM$60,'Loan Origination'!$AP$60,FALSE))</f>
        <v>111194495.47968517</v>
      </c>
      <c r="D22" s="25">
        <f>VLOOKUP($A22-1, 'Debt Service'!$DZ$206:$EC$242, 'Debt Service'!$EC$201, FALSE)</f>
        <v>30498754.520314828</v>
      </c>
      <c r="E22" s="27">
        <f t="shared" si="2"/>
        <v>166217411.82249999</v>
      </c>
      <c r="F22" s="27"/>
      <c r="G22" s="27">
        <f>ROUND('Debt Service'!EB21, 0)</f>
        <v>22936480</v>
      </c>
      <c r="H22" s="27">
        <f>'Debt Service'!EA21</f>
        <v>41030000</v>
      </c>
      <c r="I22" s="27">
        <f t="shared" si="5"/>
        <v>63966480</v>
      </c>
      <c r="J22" s="27"/>
      <c r="K22" s="27">
        <f t="shared" si="6"/>
        <v>102250931.82249999</v>
      </c>
      <c r="L22" s="28">
        <f t="shared" si="4"/>
        <v>2.5985080283063877</v>
      </c>
      <c r="N22" s="28">
        <v>2.7505276854775058</v>
      </c>
      <c r="O22" s="28">
        <v>2.5985080283063877</v>
      </c>
      <c r="P22" s="28">
        <v>2.4155134542472041</v>
      </c>
      <c r="Q22" s="28">
        <v>2.1485261087363146</v>
      </c>
    </row>
    <row r="23" spans="1:20">
      <c r="A23" s="18">
        <f>Assumptions!A19</f>
        <v>2035</v>
      </c>
      <c r="B23" s="25">
        <f>'Revenue Fund Cash Flow'!J19-SUM('Revenue Fund Cash Flow'!L19:N19)</f>
        <v>24785923.881452352</v>
      </c>
      <c r="C23" s="25">
        <f>IF(A23&gt;'Loan Origination'!$A$5,0,HLOOKUP($A23,'Loan Origination'!$B$56:$AM$60,'Loan Origination'!$AP$60,FALSE))</f>
        <v>103343004.52031483</v>
      </c>
      <c r="D23" s="25">
        <f>VLOOKUP($A23-1, 'Debt Service'!$DZ$206:$EC$242, 'Debt Service'!$EC$201, FALSE)</f>
        <v>28327245.479685172</v>
      </c>
      <c r="E23" s="27">
        <f t="shared" si="2"/>
        <v>156456173.88145235</v>
      </c>
      <c r="F23" s="27"/>
      <c r="G23" s="27">
        <f>ROUND('Debt Service'!EB22, 0)</f>
        <v>22115880</v>
      </c>
      <c r="H23" s="27">
        <f>'Debt Service'!EA22</f>
        <v>50000000</v>
      </c>
      <c r="I23" s="27">
        <f t="shared" si="5"/>
        <v>72115880</v>
      </c>
      <c r="J23" s="27"/>
      <c r="K23" s="27">
        <f t="shared" si="6"/>
        <v>84340293.881452352</v>
      </c>
      <c r="L23" s="28">
        <f t="shared" si="4"/>
        <v>2.1695107080639153</v>
      </c>
      <c r="N23" s="28">
        <v>2.3532859288551782</v>
      </c>
      <c r="O23" s="28">
        <v>2.1695107080639153</v>
      </c>
      <c r="P23" s="28">
        <v>2.0634252380124778</v>
      </c>
      <c r="Q23" s="28">
        <v>1.9035556667325699</v>
      </c>
    </row>
    <row r="24" spans="1:20">
      <c r="A24" s="18">
        <f>Assumptions!A20</f>
        <v>2036</v>
      </c>
      <c r="B24" s="25">
        <f>'Revenue Fund Cash Flow'!J20-SUM('Revenue Fund Cash Flow'!L20:N20)</f>
        <v>23555600.4925</v>
      </c>
      <c r="C24" s="25">
        <f>IF(A24&gt;'Loan Origination'!$A$5,0,HLOOKUP($A24,'Loan Origination'!$B$56:$AM$60,'Loan Origination'!$AP$60,FALSE))</f>
        <v>106184250</v>
      </c>
      <c r="D24" s="25">
        <f>VLOOKUP($A24-1, 'Debt Service'!$DZ$206:$EC$242, 'Debt Service'!$EC$201, FALSE)</f>
        <v>25681000</v>
      </c>
      <c r="E24" s="27">
        <f t="shared" si="2"/>
        <v>155420850.49250001</v>
      </c>
      <c r="F24" s="27"/>
      <c r="G24" s="27">
        <f>ROUND('Debt Service'!EB23, 0)</f>
        <v>21115880</v>
      </c>
      <c r="H24" s="27">
        <f>'Debt Service'!EA23</f>
        <v>0</v>
      </c>
      <c r="I24" s="27">
        <f t="shared" si="5"/>
        <v>21115880</v>
      </c>
      <c r="J24" s="27"/>
      <c r="K24" s="27">
        <f t="shared" si="6"/>
        <v>134304970.49250001</v>
      </c>
      <c r="L24" s="28">
        <f t="shared" si="4"/>
        <v>7.3603776159222356</v>
      </c>
      <c r="N24" s="28">
        <v>13.340416676448015</v>
      </c>
      <c r="O24" s="28">
        <v>7.3603776159222356</v>
      </c>
      <c r="P24" s="28">
        <v>5.6643179144962321</v>
      </c>
      <c r="Q24" s="28">
        <v>4.045308221107982</v>
      </c>
    </row>
    <row r="25" spans="1:20">
      <c r="A25" s="18">
        <f>Assumptions!A21</f>
        <v>2037</v>
      </c>
      <c r="B25" s="25">
        <f>'Revenue Fund Cash Flow'!J21-SUM('Revenue Fund Cash Flow'!L21:N21)</f>
        <v>22118916.532499999</v>
      </c>
      <c r="C25" s="25">
        <f>IF(A25&gt;'Loan Origination'!$A$5,0,HLOOKUP($A25,'Loan Origination'!$B$56:$AM$60,'Loan Origination'!$AP$60,FALSE))</f>
        <v>107809250</v>
      </c>
      <c r="D25" s="25">
        <f>VLOOKUP($A25-1, 'Debt Service'!$DZ$206:$EC$242, 'Debt Service'!$EC$201, FALSE)</f>
        <v>25681000</v>
      </c>
      <c r="E25" s="27">
        <f t="shared" si="2"/>
        <v>155609166.5325</v>
      </c>
      <c r="F25" s="27"/>
      <c r="G25" s="27">
        <f>ROUND('Debt Service'!EB24, 0)</f>
        <v>19752230</v>
      </c>
      <c r="H25" s="27">
        <f>'Debt Service'!EA24</f>
        <v>60000000</v>
      </c>
      <c r="I25" s="27">
        <f t="shared" si="5"/>
        <v>79752230</v>
      </c>
      <c r="J25" s="27"/>
      <c r="K25" s="27">
        <f t="shared" si="6"/>
        <v>75856936.532499999</v>
      </c>
      <c r="L25" s="28">
        <f t="shared" si="4"/>
        <v>1.9511575605158626</v>
      </c>
      <c r="N25" s="28">
        <v>2.07533213389463</v>
      </c>
      <c r="O25" s="28">
        <v>1.9511575605158626</v>
      </c>
      <c r="P25" s="28">
        <v>1.8767660332448095</v>
      </c>
      <c r="Q25" s="28">
        <v>1.7610205389913665</v>
      </c>
    </row>
    <row r="26" spans="1:20">
      <c r="A26" s="18">
        <f>Assumptions!A22</f>
        <v>2038</v>
      </c>
      <c r="B26" s="25">
        <f>'Revenue Fund Cash Flow'!J22-SUM('Revenue Fund Cash Flow'!L22:N22)</f>
        <v>20834163.167500004</v>
      </c>
      <c r="C26" s="25">
        <f>IF(A26&gt;'Loan Origination'!$A$5,0,HLOOKUP($A26,'Loan Origination'!$B$56:$AM$60,'Loan Origination'!$AP$60,FALSE))</f>
        <v>102881250</v>
      </c>
      <c r="D26" s="25">
        <f>VLOOKUP($A26-1, 'Debt Service'!$DZ$206:$EC$242, 'Debt Service'!$EC$201, FALSE)</f>
        <v>22053000</v>
      </c>
      <c r="E26" s="27">
        <f t="shared" si="2"/>
        <v>145768413.16750002</v>
      </c>
      <c r="F26" s="27"/>
      <c r="G26" s="27">
        <f>ROUND('Debt Service'!EB25, 0)</f>
        <v>18388580</v>
      </c>
      <c r="H26" s="27">
        <f>'Debt Service'!EA25</f>
        <v>0</v>
      </c>
      <c r="I26" s="27">
        <f t="shared" si="5"/>
        <v>18388580</v>
      </c>
      <c r="J26" s="27"/>
      <c r="K26" s="27">
        <f t="shared" si="6"/>
        <v>127379833.16750002</v>
      </c>
      <c r="L26" s="28">
        <f t="shared" si="4"/>
        <v>7.9271163497942752</v>
      </c>
      <c r="N26" s="28">
        <v>14.870450680569526</v>
      </c>
      <c r="O26" s="28">
        <v>7.9271163497942752</v>
      </c>
      <c r="P26" s="28">
        <v>6.0358548584273315</v>
      </c>
      <c r="Q26" s="28">
        <v>4.2629062060798066</v>
      </c>
    </row>
    <row r="27" spans="1:20">
      <c r="A27" s="18">
        <f>Assumptions!A23</f>
        <v>2039</v>
      </c>
      <c r="B27" s="25">
        <f>'Revenue Fund Cash Flow'!J23-SUM('Revenue Fund Cash Flow'!L23:N23)</f>
        <v>20825738.677500002</v>
      </c>
      <c r="C27" s="25">
        <f>IF(A27&gt;'Loan Origination'!$A$5,0,HLOOKUP($A27,'Loan Origination'!$B$56:$AM$60,'Loan Origination'!$AP$60,FALSE))</f>
        <v>99279250</v>
      </c>
      <c r="D27" s="25">
        <f>VLOOKUP($A27-1, 'Debt Service'!$DZ$206:$EC$242, 'Debt Service'!$EC$201, FALSE)</f>
        <v>22053000</v>
      </c>
      <c r="E27" s="27">
        <f t="shared" si="2"/>
        <v>142157988.67750001</v>
      </c>
      <c r="F27" s="27"/>
      <c r="G27" s="27">
        <f>ROUND('Debt Service'!EB26, 0)</f>
        <v>18388580</v>
      </c>
      <c r="H27" s="27">
        <f>'Debt Service'!EA26</f>
        <v>0</v>
      </c>
      <c r="I27" s="27">
        <f t="shared" si="5"/>
        <v>18388580</v>
      </c>
      <c r="J27" s="27"/>
      <c r="K27" s="27">
        <f t="shared" si="6"/>
        <v>123769408.67750001</v>
      </c>
      <c r="L27" s="28">
        <f t="shared" si="4"/>
        <v>7.7307757683029363</v>
      </c>
      <c r="N27" s="28">
        <v>14.469219554140336</v>
      </c>
      <c r="O27" s="28">
        <v>7.7307757683029363</v>
      </c>
      <c r="P27" s="28">
        <v>5.8947169399943409</v>
      </c>
      <c r="Q27" s="28">
        <v>4.173102330524447</v>
      </c>
    </row>
    <row r="28" spans="1:20">
      <c r="A28" s="18">
        <f>Assumptions!A24</f>
        <v>2040</v>
      </c>
      <c r="B28" s="25">
        <f>'Revenue Fund Cash Flow'!J24-SUM('Revenue Fund Cash Flow'!L24:N24)</f>
        <v>20824578.677500002</v>
      </c>
      <c r="C28" s="25">
        <f>IF(A28&gt;'Loan Origination'!$A$5,0,HLOOKUP($A28,'Loan Origination'!$B$56:$AM$60,'Loan Origination'!$AP$60,FALSE))</f>
        <v>98121250</v>
      </c>
      <c r="D28" s="25">
        <f>VLOOKUP($A28-1, 'Debt Service'!$DZ$206:$EC$242, 'Debt Service'!$EC$201, FALSE)</f>
        <v>22053000</v>
      </c>
      <c r="E28" s="27">
        <f t="shared" si="2"/>
        <v>140998828.67750001</v>
      </c>
      <c r="F28" s="27"/>
      <c r="G28" s="27">
        <f>ROUND('Debt Service'!EB27, 0)</f>
        <v>18388580</v>
      </c>
      <c r="H28" s="27">
        <f>'Debt Service'!EA27</f>
        <v>0</v>
      </c>
      <c r="I28" s="27">
        <f t="shared" si="5"/>
        <v>18388580</v>
      </c>
      <c r="J28" s="27"/>
      <c r="K28" s="27">
        <f t="shared" si="6"/>
        <v>122610248.67750001</v>
      </c>
      <c r="L28" s="28">
        <f t="shared" si="4"/>
        <v>7.6677388181958595</v>
      </c>
      <c r="N28" s="28">
        <v>14.373102532678852</v>
      </c>
      <c r="O28" s="28">
        <v>7.6677388181958595</v>
      </c>
      <c r="P28" s="28">
        <v>5.8421418943089929</v>
      </c>
      <c r="Q28" s="28">
        <v>4.1317717680656667</v>
      </c>
    </row>
    <row r="29" spans="1:20">
      <c r="A29" s="18">
        <f>Assumptions!A25</f>
        <v>2041</v>
      </c>
      <c r="B29" s="25">
        <f>'Revenue Fund Cash Flow'!J25-SUM('Revenue Fund Cash Flow'!L25:N25)</f>
        <v>20828040.037500001</v>
      </c>
      <c r="C29" s="25">
        <f>IF(A29&gt;'Loan Origination'!$A$5,0,HLOOKUP($A29,'Loan Origination'!$B$56:$AM$60,'Loan Origination'!$AP$60,FALSE))</f>
        <v>97266250</v>
      </c>
      <c r="D29" s="25">
        <f>VLOOKUP($A29-1, 'Debt Service'!$DZ$206:$EC$242, 'Debt Service'!$EC$201, FALSE)</f>
        <v>22053000</v>
      </c>
      <c r="E29" s="27">
        <f t="shared" si="2"/>
        <v>140147290.03749999</v>
      </c>
      <c r="F29" s="27"/>
      <c r="G29" s="27">
        <f>ROUND('Debt Service'!EB28, 0)</f>
        <v>18388580</v>
      </c>
      <c r="H29" s="27">
        <f>'Debt Service'!EA28</f>
        <v>0</v>
      </c>
      <c r="I29" s="27">
        <f t="shared" si="5"/>
        <v>18388580</v>
      </c>
      <c r="J29" s="27"/>
      <c r="K29" s="27">
        <f t="shared" si="6"/>
        <v>121758710.03749999</v>
      </c>
      <c r="L29" s="28">
        <f t="shared" si="4"/>
        <v>7.6214308031125837</v>
      </c>
      <c r="N29" s="28">
        <v>14.307518265560608</v>
      </c>
      <c r="O29" s="28">
        <v>7.6214308031125837</v>
      </c>
      <c r="P29" s="28">
        <v>5.8022147678021581</v>
      </c>
      <c r="Q29" s="28">
        <v>4.0990546499202569</v>
      </c>
    </row>
    <row r="30" spans="1:20">
      <c r="A30" s="18">
        <f>Assumptions!A26</f>
        <v>2042</v>
      </c>
      <c r="B30" s="25">
        <f>'Revenue Fund Cash Flow'!J26-SUM('Revenue Fund Cash Flow'!L26:N26)</f>
        <v>19634080.619649421</v>
      </c>
      <c r="C30" s="25">
        <f>IF(A30&gt;'Loan Origination'!$A$5,0,HLOOKUP($A30,'Loan Origination'!$B$56:$AM$60,'Loan Origination'!$AP$60,FALSE))</f>
        <v>98703250</v>
      </c>
      <c r="D30" s="25">
        <f>VLOOKUP($A30-1, 'Debt Service'!$DZ$206:$EC$242, 'Debt Service'!$EC$201, FALSE)</f>
        <v>22053000</v>
      </c>
      <c r="E30" s="27">
        <f t="shared" si="2"/>
        <v>140390330.61964941</v>
      </c>
      <c r="F30" s="27"/>
      <c r="G30" s="27">
        <f>ROUND('Debt Service'!EB29, 0)</f>
        <v>17418580</v>
      </c>
      <c r="H30" s="27">
        <f>'Debt Service'!EA29</f>
        <v>50000000</v>
      </c>
      <c r="I30" s="27">
        <f t="shared" si="5"/>
        <v>67418580</v>
      </c>
      <c r="J30" s="27"/>
      <c r="K30" s="27">
        <f t="shared" si="6"/>
        <v>72971750.61964941</v>
      </c>
      <c r="L30" s="28">
        <f t="shared" si="4"/>
        <v>2.0823685491395607</v>
      </c>
      <c r="N30" s="28">
        <v>2.2358277774380744</v>
      </c>
      <c r="O30" s="28">
        <v>2.0823685491395607</v>
      </c>
      <c r="P30" s="28">
        <v>1.9917958773439639</v>
      </c>
      <c r="Q30" s="28">
        <v>1.8536621146260612</v>
      </c>
    </row>
    <row r="31" spans="1:20">
      <c r="A31" s="18">
        <f>Assumptions!A27</f>
        <v>2043</v>
      </c>
      <c r="B31" s="25">
        <f>'Revenue Fund Cash Flow'!J27-SUM('Revenue Fund Cash Flow'!L27:N27)</f>
        <v>18648665.25</v>
      </c>
      <c r="C31" s="25">
        <f>IF(A31&gt;'Loan Origination'!$A$5,0,HLOOKUP($A31,'Loan Origination'!$B$56:$AM$60,'Loan Origination'!$AP$60,FALSE))</f>
        <v>97187250</v>
      </c>
      <c r="D31" s="25">
        <f>VLOOKUP($A31-1, 'Debt Service'!$DZ$206:$EC$242, 'Debt Service'!$EC$201, FALSE)</f>
        <v>18913000</v>
      </c>
      <c r="E31" s="27">
        <f t="shared" si="2"/>
        <v>134748915.25</v>
      </c>
      <c r="F31" s="27"/>
      <c r="G31" s="27">
        <f>ROUND('Debt Service'!EB30, 0)</f>
        <v>16448580</v>
      </c>
      <c r="H31" s="27">
        <f>'Debt Service'!EA30</f>
        <v>0</v>
      </c>
      <c r="I31" s="27">
        <f t="shared" si="5"/>
        <v>16448580</v>
      </c>
      <c r="J31" s="27"/>
      <c r="K31" s="27">
        <f t="shared" si="6"/>
        <v>118300335.25</v>
      </c>
      <c r="L31" s="28">
        <f>IF(I31&gt;0, 1+(K31/$I31), "***")</f>
        <v>8.1921305820928012</v>
      </c>
      <c r="N31" s="28">
        <v>15.467345613372915</v>
      </c>
      <c r="O31" s="28">
        <v>8.1921305820928012</v>
      </c>
      <c r="P31" s="28">
        <v>6.206725809731763</v>
      </c>
      <c r="Q31" s="28">
        <v>4.3481059792461174</v>
      </c>
    </row>
    <row r="32" spans="1:20">
      <c r="A32" s="18">
        <f>Assumptions!A28</f>
        <v>2044</v>
      </c>
      <c r="B32" s="25">
        <f>'Revenue Fund Cash Flow'!J28-SUM('Revenue Fund Cash Flow'!L28:N28)</f>
        <v>18645047.75</v>
      </c>
      <c r="C32" s="25">
        <f>IF(A32&gt;'Loan Origination'!$A$5,0,HLOOKUP($A32,'Loan Origination'!$B$56:$AM$60,'Loan Origination'!$AP$60,FALSE))</f>
        <v>96333250</v>
      </c>
      <c r="D32" s="25">
        <f>VLOOKUP($A32-1, 'Debt Service'!$DZ$206:$EC$242, 'Debt Service'!$EC$201, FALSE)</f>
        <v>18913000</v>
      </c>
      <c r="E32" s="27">
        <f t="shared" si="2"/>
        <v>133891297.75</v>
      </c>
      <c r="F32" s="27"/>
      <c r="G32" s="27">
        <f>ROUND('Debt Service'!EB31, 0)</f>
        <v>16448580</v>
      </c>
      <c r="H32" s="27">
        <f>'Debt Service'!EA31</f>
        <v>0</v>
      </c>
      <c r="I32" s="27">
        <f t="shared" si="5"/>
        <v>16448580</v>
      </c>
      <c r="J32" s="27"/>
      <c r="K32" s="27">
        <f t="shared" si="6"/>
        <v>117442717.75</v>
      </c>
      <c r="L32" s="28">
        <f t="shared" ref="L32:L41" si="7">IF(I32&gt;0, 1+(K32/$I32), "***")</f>
        <v>8.139991278882432</v>
      </c>
      <c r="N32" s="28">
        <v>15.33311538107923</v>
      </c>
      <c r="O32" s="28">
        <v>8.139991278882432</v>
      </c>
      <c r="P32" s="28">
        <v>6.1748568902024914</v>
      </c>
      <c r="Q32" s="28">
        <v>4.3331616846425547</v>
      </c>
    </row>
    <row r="33" spans="1:23">
      <c r="A33" s="18">
        <f>Assumptions!A29</f>
        <v>2045</v>
      </c>
      <c r="B33" s="25">
        <f>'Revenue Fund Cash Flow'!J29-SUM('Revenue Fund Cash Flow'!L29:N29)</f>
        <v>18643685.75</v>
      </c>
      <c r="C33" s="25">
        <f>IF(A33&gt;'Loan Origination'!$A$5,0,HLOOKUP($A33,'Loan Origination'!$B$56:$AM$60,'Loan Origination'!$AP$60,FALSE))</f>
        <v>93644250</v>
      </c>
      <c r="D33" s="25">
        <f>VLOOKUP($A33-1, 'Debt Service'!$DZ$206:$EC$242, 'Debt Service'!$EC$201, FALSE)</f>
        <v>18913000</v>
      </c>
      <c r="E33" s="27">
        <f t="shared" si="2"/>
        <v>131200935.75</v>
      </c>
      <c r="F33" s="27"/>
      <c r="G33" s="27">
        <f>ROUND('Debt Service'!EB32, 0)</f>
        <v>16448580</v>
      </c>
      <c r="H33" s="27">
        <f>'Debt Service'!EA32</f>
        <v>0</v>
      </c>
      <c r="I33" s="27">
        <f t="shared" si="5"/>
        <v>16448580</v>
      </c>
      <c r="J33" s="27"/>
      <c r="K33" s="27">
        <f t="shared" si="6"/>
        <v>114752355.75</v>
      </c>
      <c r="L33" s="28">
        <f t="shared" si="7"/>
        <v>7.9764293179107257</v>
      </c>
      <c r="N33" s="28">
        <v>15.028320286320536</v>
      </c>
      <c r="O33" s="28">
        <v>7.9764293179107257</v>
      </c>
      <c r="P33" s="28">
        <v>6.0516444653346095</v>
      </c>
      <c r="Q33" s="28">
        <v>4.2480524465544027</v>
      </c>
      <c r="W33" s="268"/>
    </row>
    <row r="34" spans="1:23">
      <c r="A34" s="18">
        <f>Assumptions!A30</f>
        <v>2046</v>
      </c>
      <c r="B34" s="25">
        <f>'Revenue Fund Cash Flow'!J30-SUM('Revenue Fund Cash Flow'!L30:N30)</f>
        <v>18666757.25</v>
      </c>
      <c r="C34" s="25">
        <f>IF(A34&gt;'Loan Origination'!$A$5,0,HLOOKUP($A34,'Loan Origination'!$B$56:$AM$60,'Loan Origination'!$AP$60,FALSE))</f>
        <v>92699250</v>
      </c>
      <c r="D34" s="25">
        <f>VLOOKUP($A34-1, 'Debt Service'!$DZ$206:$EC$242, 'Debt Service'!$EC$201, FALSE)</f>
        <v>18913000</v>
      </c>
      <c r="E34" s="27">
        <f t="shared" si="2"/>
        <v>130279007.25</v>
      </c>
      <c r="F34" s="27"/>
      <c r="G34" s="27">
        <f>ROUND('Debt Service'!EB33, 0)</f>
        <v>16448580</v>
      </c>
      <c r="H34" s="27">
        <f>'Debt Service'!EA33</f>
        <v>0</v>
      </c>
      <c r="I34" s="27">
        <f t="shared" si="5"/>
        <v>16448580</v>
      </c>
      <c r="J34" s="27"/>
      <c r="K34" s="27">
        <f t="shared" si="6"/>
        <v>113830427.25</v>
      </c>
      <c r="L34" s="28">
        <f t="shared" si="7"/>
        <v>7.9203801939133953</v>
      </c>
      <c r="N34" s="28">
        <v>14.638531675751791</v>
      </c>
      <c r="O34" s="28">
        <v>7.9203801939133953</v>
      </c>
      <c r="P34" s="28">
        <v>6.1347050868656856</v>
      </c>
      <c r="Q34" s="28">
        <v>4.450254799268893</v>
      </c>
    </row>
    <row r="35" spans="1:23">
      <c r="A35" s="18">
        <f>Assumptions!A31</f>
        <v>2047</v>
      </c>
      <c r="B35" s="25">
        <f>'Revenue Fund Cash Flow'!J31-SUM('Revenue Fund Cash Flow'!L31:N31)</f>
        <v>18779908.25</v>
      </c>
      <c r="C35" s="25">
        <f>IF(A35&gt;'Loan Origination'!$A$5,0,HLOOKUP($A35,'Loan Origination'!$B$56:$AM$60,'Loan Origination'!$AP$60,FALSE))</f>
        <v>128098250</v>
      </c>
      <c r="D35" s="25">
        <f>VLOOKUP($A35-1, 'Debt Service'!$DZ$206:$EC$242, 'Debt Service'!$EC$201, FALSE)</f>
        <v>18913000</v>
      </c>
      <c r="E35" s="27">
        <f t="shared" si="2"/>
        <v>165791158.25</v>
      </c>
      <c r="F35" s="27"/>
      <c r="G35" s="27">
        <f>ROUND('Debt Service'!EB34, 0)</f>
        <v>16448580</v>
      </c>
      <c r="H35" s="27">
        <f>'Debt Service'!EA34</f>
        <v>0</v>
      </c>
      <c r="I35" s="27">
        <f t="shared" si="5"/>
        <v>16448580</v>
      </c>
      <c r="J35" s="27"/>
      <c r="K35" s="27">
        <f t="shared" si="6"/>
        <v>149342578.25</v>
      </c>
      <c r="L35" s="28">
        <f t="shared" si="7"/>
        <v>10.079359935629702</v>
      </c>
      <c r="N35" s="28">
        <v>17.839506784204705</v>
      </c>
      <c r="O35" s="28">
        <v>10.079359935629702</v>
      </c>
      <c r="P35" s="28">
        <v>7.6396592203410014</v>
      </c>
      <c r="Q35" s="28">
        <v>5.3493697034498187</v>
      </c>
    </row>
    <row r="36" spans="1:23">
      <c r="A36" s="18">
        <f>Assumptions!A32</f>
        <v>2048</v>
      </c>
      <c r="B36" s="25">
        <f>'Revenue Fund Cash Flow'!J32-SUM('Revenue Fund Cash Flow'!L32:N32)</f>
        <v>15839570.25</v>
      </c>
      <c r="C36" s="25">
        <f>IF(A36&gt;'Loan Origination'!$A$5,0,HLOOKUP($A36,'Loan Origination'!$B$56:$AM$60,'Loan Origination'!$AP$60,FALSE))</f>
        <v>157432250</v>
      </c>
      <c r="D36" s="25">
        <f>VLOOKUP($A36-1, 'Debt Service'!$DZ$206:$EC$242, 'Debt Service'!$EC$201, FALSE)</f>
        <v>18913000</v>
      </c>
      <c r="E36" s="27">
        <f t="shared" si="2"/>
        <v>192184820.25</v>
      </c>
      <c r="F36" s="27"/>
      <c r="G36" s="27">
        <f>ROUND('Debt Service'!EB35, 0)</f>
        <v>15280373</v>
      </c>
      <c r="H36" s="27">
        <f>'Debt Service'!EA35</f>
        <v>105000000</v>
      </c>
      <c r="I36" s="27">
        <f t="shared" si="5"/>
        <v>120280373</v>
      </c>
      <c r="J36" s="27"/>
      <c r="K36" s="27">
        <f t="shared" si="6"/>
        <v>71904447.25</v>
      </c>
      <c r="L36" s="28">
        <f t="shared" si="7"/>
        <v>1.5978069859327757</v>
      </c>
      <c r="N36" s="28">
        <v>1.5829398308061058</v>
      </c>
      <c r="O36" s="28">
        <v>1.5978069859327757</v>
      </c>
      <c r="P36" s="28">
        <v>1.559936145712749</v>
      </c>
      <c r="Q36" s="28">
        <v>1.4978017619667001</v>
      </c>
    </row>
    <row r="37" spans="1:23">
      <c r="A37" s="18">
        <f>Assumptions!A33</f>
        <v>2049</v>
      </c>
      <c r="B37" s="25">
        <f>'Revenue Fund Cash Flow'!J33-SUM('Revenue Fund Cash Flow'!L33:N33)</f>
        <v>14631506.75</v>
      </c>
      <c r="C37" s="25">
        <f>IF(A37&gt;'Loan Origination'!$A$5,0,HLOOKUP($A37,'Loan Origination'!$B$56:$AM$60,'Loan Origination'!$AP$60,FALSE))</f>
        <v>88845250</v>
      </c>
      <c r="D37" s="25">
        <f>VLOOKUP($A37-1, 'Debt Service'!$DZ$206:$EC$242, 'Debt Service'!$EC$201, FALSE)</f>
        <v>13231000</v>
      </c>
      <c r="E37" s="27">
        <f t="shared" si="2"/>
        <v>116707756.75</v>
      </c>
      <c r="F37" s="27"/>
      <c r="G37" s="27">
        <f>ROUND('Debt Service'!EB36, 0)</f>
        <v>11775750</v>
      </c>
      <c r="H37" s="27">
        <f>'Debt Service'!EA36</f>
        <v>0</v>
      </c>
      <c r="I37" s="27">
        <f t="shared" si="5"/>
        <v>11775750</v>
      </c>
      <c r="J37" s="27"/>
      <c r="K37" s="27">
        <f t="shared" si="6"/>
        <v>104932006.75</v>
      </c>
      <c r="L37" s="28">
        <f t="shared" si="7"/>
        <v>9.9108555081417311</v>
      </c>
      <c r="N37" s="28">
        <v>18.402969308251532</v>
      </c>
      <c r="O37" s="28">
        <v>9.9108555081417311</v>
      </c>
      <c r="P37" s="28">
        <v>7.345193572833348</v>
      </c>
      <c r="Q37" s="28">
        <v>4.9898563515188847</v>
      </c>
    </row>
    <row r="38" spans="1:23">
      <c r="A38" s="18">
        <f>Assumptions!A34</f>
        <v>2050</v>
      </c>
      <c r="B38" s="25">
        <f>'Revenue Fund Cash Flow'!J34-SUM('Revenue Fund Cash Flow'!L34:N34)</f>
        <v>14619904.25</v>
      </c>
      <c r="C38" s="25">
        <f>IF(A38&gt;'Loan Origination'!$A$5,0,HLOOKUP($A38,'Loan Origination'!$B$56:$AM$60,'Loan Origination'!$AP$60,FALSE))</f>
        <v>86354250</v>
      </c>
      <c r="D38" s="25">
        <f>VLOOKUP($A38-1, 'Debt Service'!$DZ$206:$EC$242, 'Debt Service'!$EC$201, FALSE)</f>
        <v>13231000</v>
      </c>
      <c r="E38" s="27">
        <f t="shared" si="2"/>
        <v>114205154.25</v>
      </c>
      <c r="F38" s="27"/>
      <c r="G38" s="27">
        <f>ROUND('Debt Service'!EB37, 0)</f>
        <v>11775750</v>
      </c>
      <c r="H38" s="27">
        <f>'Debt Service'!EA37</f>
        <v>0</v>
      </c>
      <c r="I38" s="27">
        <f t="shared" si="5"/>
        <v>11775750</v>
      </c>
      <c r="J38" s="27"/>
      <c r="K38" s="27">
        <f t="shared" si="6"/>
        <v>102429404.25</v>
      </c>
      <c r="L38" s="28">
        <f t="shared" si="7"/>
        <v>9.6983338003948791</v>
      </c>
      <c r="N38" s="28">
        <v>18.944930833843923</v>
      </c>
      <c r="O38" s="28">
        <v>9.6983338003948791</v>
      </c>
      <c r="P38" s="28">
        <v>7.2687154441611517</v>
      </c>
      <c r="Q38" s="28">
        <v>5.0202126990895382</v>
      </c>
    </row>
    <row r="39" spans="1:23">
      <c r="A39" s="18">
        <f>Assumptions!A35</f>
        <v>2051</v>
      </c>
      <c r="B39" s="25">
        <f>'Revenue Fund Cash Flow'!J35-SUM('Revenue Fund Cash Flow'!L35:N35)</f>
        <v>14652882.25</v>
      </c>
      <c r="C39" s="25">
        <f>IF(A39&gt;'Loan Origination'!$A$5,0,HLOOKUP($A39,'Loan Origination'!$B$56:$AM$60,'Loan Origination'!$AP$60,FALSE))</f>
        <v>92142250</v>
      </c>
      <c r="D39" s="25">
        <f>VLOOKUP($A39-1, 'Debt Service'!$DZ$206:$EC$242, 'Debt Service'!$EC$201, FALSE)</f>
        <v>13231000</v>
      </c>
      <c r="E39" s="27">
        <f t="shared" si="2"/>
        <v>120026132.25</v>
      </c>
      <c r="F39" s="27"/>
      <c r="G39" s="27">
        <f>ROUND('Debt Service'!EB38, 0)</f>
        <v>11775750</v>
      </c>
      <c r="H39" s="27">
        <f>'Debt Service'!EA38</f>
        <v>0</v>
      </c>
      <c r="I39" s="27">
        <f t="shared" si="5"/>
        <v>11775750</v>
      </c>
      <c r="J39" s="27"/>
      <c r="K39" s="27">
        <f t="shared" si="6"/>
        <v>108250382.25</v>
      </c>
      <c r="L39" s="28">
        <f t="shared" si="7"/>
        <v>10.192652888351061</v>
      </c>
      <c r="N39" s="28">
        <v>19.645551273861823</v>
      </c>
      <c r="O39" s="28">
        <v>10.192652888351061</v>
      </c>
      <c r="P39" s="28">
        <v>7.7130724360213421</v>
      </c>
      <c r="Q39" s="28">
        <v>5.4161535624886481</v>
      </c>
    </row>
    <row r="40" spans="1:23">
      <c r="A40" s="18">
        <f>Assumptions!A36</f>
        <v>2052</v>
      </c>
      <c r="B40" s="25">
        <f>'Revenue Fund Cash Flow'!J36-SUM('Revenue Fund Cash Flow'!L36:N36)</f>
        <v>13068261</v>
      </c>
      <c r="C40" s="25">
        <f>IF(A40&gt;'Loan Origination'!$A$5,0,HLOOKUP($A40,'Loan Origination'!$B$56:$AM$60,'Loan Origination'!$AP$60,FALSE))</f>
        <v>129332250</v>
      </c>
      <c r="D40" s="25">
        <f>VLOOKUP($A40-1, 'Debt Service'!$DZ$206:$EC$242, 'Debt Service'!$EC$201, FALSE)</f>
        <v>13231000</v>
      </c>
      <c r="E40" s="27">
        <f t="shared" si="2"/>
        <v>155631511</v>
      </c>
      <c r="F40" s="27"/>
      <c r="G40" s="27">
        <f>ROUND('Debt Service'!EB39, 0)</f>
        <v>9593250</v>
      </c>
      <c r="H40" s="27">
        <f>'Debt Service'!EA39</f>
        <v>75000000</v>
      </c>
      <c r="I40" s="27">
        <f t="shared" si="5"/>
        <v>84593250</v>
      </c>
      <c r="J40" s="27"/>
      <c r="K40" s="27">
        <f t="shared" si="6"/>
        <v>71038261</v>
      </c>
      <c r="L40" s="28">
        <f t="shared" si="7"/>
        <v>1.8397627588489627</v>
      </c>
      <c r="N40" s="28">
        <v>1.8923222116507576</v>
      </c>
      <c r="O40" s="28">
        <v>1.8397627588489627</v>
      </c>
      <c r="P40" s="28">
        <v>1.8059963175567746</v>
      </c>
      <c r="Q40" s="28">
        <v>1.749119450541003</v>
      </c>
    </row>
    <row r="41" spans="1:23">
      <c r="A41" s="18">
        <f>Assumptions!A37</f>
        <v>2053</v>
      </c>
      <c r="B41" s="25">
        <f>'Revenue Fund Cash Flow'!J37-SUM('Revenue Fund Cash Flow'!L37:N37)</f>
        <v>11658186.25</v>
      </c>
      <c r="C41" s="25">
        <f>IF(A41&gt;'Loan Origination'!$A$5,0,HLOOKUP($A41,'Loan Origination'!$B$56:$AM$60,'Loan Origination'!$AP$60,FALSE))</f>
        <v>96392250</v>
      </c>
      <c r="D41" s="25">
        <f>VLOOKUP($A41-1, 'Debt Service'!$DZ$206:$EC$242, 'Debt Service'!$EC$201, FALSE)</f>
        <v>9852000</v>
      </c>
      <c r="E41" s="27">
        <f t="shared" si="2"/>
        <v>117902436.25</v>
      </c>
      <c r="F41" s="27"/>
      <c r="G41" s="27">
        <f>ROUND('Debt Service'!EB40, 0)</f>
        <v>8865750</v>
      </c>
      <c r="H41" s="27">
        <f>'Debt Service'!EA40</f>
        <v>0</v>
      </c>
      <c r="I41" s="27">
        <f t="shared" si="5"/>
        <v>8865750</v>
      </c>
      <c r="J41" s="27"/>
      <c r="K41" s="27">
        <f t="shared" si="6"/>
        <v>109036686.25</v>
      </c>
      <c r="L41" s="28">
        <f t="shared" si="7"/>
        <v>13.298642105856809</v>
      </c>
      <c r="N41" s="28">
        <v>26.363826958388739</v>
      </c>
      <c r="O41" s="28">
        <v>13.298642105856809</v>
      </c>
      <c r="P41" s="28">
        <v>9.8125440384293867</v>
      </c>
      <c r="Q41" s="28">
        <v>6.5851642300502027</v>
      </c>
    </row>
    <row r="42" spans="1:23">
      <c r="A42" s="18">
        <f>Assumptions!A38</f>
        <v>2054</v>
      </c>
      <c r="B42" s="25">
        <f>'Revenue Fund Cash Flow'!J38-SUM('Revenue Fund Cash Flow'!L38:N38)</f>
        <v>11777203.75</v>
      </c>
      <c r="C42" s="25">
        <f>IF(A42&gt;'Loan Origination'!$A$5,0,HLOOKUP($A42,'Loan Origination'!$B$56:$AM$60,'Loan Origination'!$AP$60,FALSE))</f>
        <v>137056250</v>
      </c>
      <c r="D42" s="25">
        <f>VLOOKUP($A42-1, 'Debt Service'!$DZ$206:$EC$242, 'Debt Service'!$EC$201, FALSE)</f>
        <v>9852000</v>
      </c>
      <c r="E42" s="27">
        <f t="shared" si="2"/>
        <v>158685453.75</v>
      </c>
      <c r="F42" s="27"/>
      <c r="G42" s="27">
        <f>ROUND('Debt Service'!EB41, 0)</f>
        <v>8865750</v>
      </c>
      <c r="H42" s="27">
        <f>'Debt Service'!EA41</f>
        <v>0</v>
      </c>
      <c r="I42" s="27">
        <f t="shared" ref="I42:I48" si="8">SUM(G42:H42)</f>
        <v>8865750</v>
      </c>
      <c r="J42" s="27"/>
      <c r="K42" s="27">
        <f t="shared" ref="K42:K48" si="9">E42-I42</f>
        <v>149819703.75</v>
      </c>
      <c r="L42" s="28">
        <f t="shared" ref="L42:L48" si="10">IF(I42&gt;0, 1+(K42/$I42), "***")</f>
        <v>17.898706116233821</v>
      </c>
      <c r="N42" s="28">
        <v>35.735521974131828</v>
      </c>
      <c r="O42" s="28">
        <v>17.898706116233821</v>
      </c>
      <c r="P42" s="28">
        <v>13.11593682639492</v>
      </c>
      <c r="Q42" s="28">
        <v>8.6790796206440231</v>
      </c>
    </row>
    <row r="43" spans="1:23">
      <c r="A43" s="18">
        <f>Assumptions!A39</f>
        <v>2055</v>
      </c>
      <c r="B43" s="25">
        <f>'Revenue Fund Cash Flow'!J39-SUM('Revenue Fund Cash Flow'!L39:N39)</f>
        <v>10344495.883333333</v>
      </c>
      <c r="C43" s="25">
        <f>IF(A43&gt;'Loan Origination'!$A$5,0,HLOOKUP($A43,'Loan Origination'!$B$56:$AM$60,'Loan Origination'!$AP$60,FALSE))</f>
        <v>177936250</v>
      </c>
      <c r="D43" s="25">
        <f>VLOOKUP($A43-1, 'Debt Service'!$DZ$206:$EC$242, 'Debt Service'!$EC$201, FALSE)</f>
        <v>9852000</v>
      </c>
      <c r="E43" s="27">
        <f t="shared" si="2"/>
        <v>198132745.88333333</v>
      </c>
      <c r="F43" s="27"/>
      <c r="G43" s="27">
        <f>ROUND('Debt Service'!EB42, 0)</f>
        <v>8623250</v>
      </c>
      <c r="H43" s="27">
        <f>'Debt Service'!EA42</f>
        <v>75000000</v>
      </c>
      <c r="I43" s="27">
        <f t="shared" si="8"/>
        <v>83623250</v>
      </c>
      <c r="J43" s="27"/>
      <c r="K43" s="27">
        <f t="shared" si="9"/>
        <v>114509495.88333333</v>
      </c>
      <c r="L43" s="28">
        <f t="shared" si="10"/>
        <v>2.3693499820125781</v>
      </c>
      <c r="N43" s="28">
        <v>2.4651106662497142</v>
      </c>
      <c r="O43" s="28">
        <v>2.3693499820125781</v>
      </c>
      <c r="P43" s="28">
        <v>2.2999691520218919</v>
      </c>
      <c r="Q43" s="28">
        <v>2.1772552978956337</v>
      </c>
    </row>
    <row r="44" spans="1:23">
      <c r="A44" s="18">
        <f>Assumptions!A40</f>
        <v>2056</v>
      </c>
      <c r="B44" s="25">
        <f>'Revenue Fund Cash Flow'!J40-SUM('Revenue Fund Cash Flow'!L40:N40)</f>
        <v>8805489.8499999996</v>
      </c>
      <c r="C44" s="25">
        <f>IF(A44&gt;'Loan Origination'!$A$5,0,HLOOKUP($A44,'Loan Origination'!$B$56:$AM$60,'Loan Origination'!$AP$60,FALSE))</f>
        <v>149335250</v>
      </c>
      <c r="D44" s="25">
        <f>VLOOKUP($A44-1, 'Debt Service'!$DZ$206:$EC$242, 'Debt Service'!$EC$201, FALSE)</f>
        <v>6424000</v>
      </c>
      <c r="E44" s="27">
        <f>SUM(B44:D44)</f>
        <v>164564739.84999999</v>
      </c>
      <c r="F44" s="27"/>
      <c r="G44" s="27">
        <f>ROUND('Debt Service'!EB43, 0)</f>
        <v>5955750</v>
      </c>
      <c r="H44" s="27">
        <f>'Debt Service'!EA43</f>
        <v>0</v>
      </c>
      <c r="I44" s="27">
        <f t="shared" si="8"/>
        <v>5955750</v>
      </c>
      <c r="J44" s="27"/>
      <c r="K44" s="27">
        <f t="shared" si="9"/>
        <v>158608989.84999999</v>
      </c>
      <c r="L44" s="28">
        <f t="shared" si="10"/>
        <v>27.631237014649706</v>
      </c>
      <c r="N44" s="28">
        <v>55.105988783485472</v>
      </c>
      <c r="O44" s="28">
        <v>27.631237014649706</v>
      </c>
      <c r="P44" s="28">
        <v>20.250094852579181</v>
      </c>
      <c r="Q44" s="28">
        <v>13.37711861763</v>
      </c>
    </row>
    <row r="45" spans="1:23" ht="16">
      <c r="A45" s="10">
        <f>Assumptions!A41</f>
        <v>2057</v>
      </c>
      <c r="B45" s="209">
        <f>'Revenue Fund Cash Flow'!J41-SUM('Revenue Fund Cash Flow'!L41:N41)</f>
        <v>5366562.9000000004</v>
      </c>
      <c r="C45" s="209">
        <f>IF(A45&gt;'Loan Origination'!$A$5,0,HLOOKUP($A45,'Loan Origination'!$B$56:$AM$60,'Loan Origination'!$AP$60,FALSE))</f>
        <v>190304250</v>
      </c>
      <c r="D45" s="209">
        <f>VLOOKUP($A45-1, 'Debt Service'!$DZ$206:$EC$242, 'Debt Service'!$EC$201, FALSE)</f>
        <v>6424000</v>
      </c>
      <c r="E45" s="209">
        <f t="shared" ref="E45:E48" si="11">SUM(B45:D45)</f>
        <v>202094812.90000001</v>
      </c>
      <c r="F45" s="209"/>
      <c r="G45" s="269">
        <f>ROUND('Debt Service'!EB44, 0)</f>
        <v>1488938</v>
      </c>
      <c r="H45" s="269">
        <f>'Debt Service'!EA44</f>
        <v>150000000</v>
      </c>
      <c r="I45" s="269">
        <f t="shared" si="8"/>
        <v>151488938</v>
      </c>
      <c r="J45" s="209"/>
      <c r="K45" s="209">
        <f t="shared" si="9"/>
        <v>50605874.900000006</v>
      </c>
      <c r="L45" s="210">
        <f t="shared" si="10"/>
        <v>1.3340565691997921</v>
      </c>
      <c r="M45" s="110"/>
      <c r="N45" s="210">
        <v>1.3236759812997916</v>
      </c>
      <c r="O45" s="210">
        <v>1.3340565691997921</v>
      </c>
      <c r="P45" s="210">
        <v>1.3417712155011632</v>
      </c>
      <c r="Q45" s="210">
        <v>1.3570331759138765</v>
      </c>
    </row>
    <row r="46" spans="1:23" hidden="1" outlineLevel="1">
      <c r="A46" s="18">
        <f>Assumptions!A42</f>
        <v>2058</v>
      </c>
      <c r="B46" s="25">
        <f>'Revenue Fund Cash Flow'!J42-SUM('Revenue Fund Cash Flow'!L42:N42)</f>
        <v>0</v>
      </c>
      <c r="C46" s="25">
        <f>IF(A46&gt;'Loan Origination'!$A$5,0,HLOOKUP($A46,'Loan Origination'!$B$56:$AM$60,'Loan Origination'!$AP$60,FALSE))</f>
        <v>0</v>
      </c>
      <c r="D46" s="25">
        <f>VLOOKUP($A46-1, 'Debt Service'!$DZ$206:$EC$242, 'Debt Service'!$EC$201, FALSE)</f>
        <v>0</v>
      </c>
      <c r="E46" s="27">
        <f t="shared" si="11"/>
        <v>0</v>
      </c>
      <c r="F46" s="27"/>
      <c r="G46" s="144">
        <f>ROUND('Debt Service'!EB45, 0)</f>
        <v>0</v>
      </c>
      <c r="H46" s="144">
        <f>'Debt Service'!EA45</f>
        <v>0</v>
      </c>
      <c r="I46" s="144">
        <f t="shared" si="8"/>
        <v>0</v>
      </c>
      <c r="J46" s="27"/>
      <c r="K46" s="27">
        <f t="shared" si="9"/>
        <v>0</v>
      </c>
      <c r="L46" s="28" t="str">
        <f t="shared" si="10"/>
        <v>***</v>
      </c>
      <c r="N46" s="28" t="s">
        <v>114</v>
      </c>
      <c r="O46" s="28" t="s">
        <v>114</v>
      </c>
      <c r="P46" s="28" t="s">
        <v>114</v>
      </c>
      <c r="Q46" s="28" t="s">
        <v>114</v>
      </c>
    </row>
    <row r="47" spans="1:23" hidden="1" outlineLevel="1">
      <c r="A47" s="18">
        <f>Assumptions!A43</f>
        <v>2059</v>
      </c>
      <c r="B47" s="25">
        <f>'Revenue Fund Cash Flow'!J43-SUM('Revenue Fund Cash Flow'!L43:N43)</f>
        <v>0</v>
      </c>
      <c r="C47" s="25">
        <f>IF(A47&gt;'Loan Origination'!$A$5,0,HLOOKUP($A47,'Loan Origination'!$B$56:$AM$60,'Loan Origination'!$AP$60,FALSE))</f>
        <v>0</v>
      </c>
      <c r="D47" s="25">
        <f>VLOOKUP($A47-1, 'Debt Service'!$DZ$206:$EC$242, 'Debt Service'!$EC$201, FALSE)</f>
        <v>0</v>
      </c>
      <c r="E47" s="27">
        <f t="shared" si="11"/>
        <v>0</v>
      </c>
      <c r="F47" s="27"/>
      <c r="G47" s="27">
        <f>ROUND('Debt Service'!EB46, 0)</f>
        <v>0</v>
      </c>
      <c r="H47" s="27">
        <f>'Debt Service'!EA46</f>
        <v>0</v>
      </c>
      <c r="I47" s="27">
        <f t="shared" si="8"/>
        <v>0</v>
      </c>
      <c r="J47" s="27"/>
      <c r="K47" s="27">
        <f t="shared" si="9"/>
        <v>0</v>
      </c>
      <c r="L47" s="28" t="str">
        <f t="shared" si="10"/>
        <v>***</v>
      </c>
      <c r="N47" s="28" t="s">
        <v>114</v>
      </c>
      <c r="O47" s="28" t="s">
        <v>114</v>
      </c>
      <c r="P47" s="28" t="s">
        <v>114</v>
      </c>
      <c r="Q47" s="28" t="s">
        <v>114</v>
      </c>
    </row>
    <row r="48" spans="1:23" hidden="1" outlineLevel="1">
      <c r="A48" s="18">
        <f>Assumptions!A44</f>
        <v>2060</v>
      </c>
      <c r="B48" s="25">
        <f>'Revenue Fund Cash Flow'!J44-SUM('Revenue Fund Cash Flow'!L44:N44)</f>
        <v>0</v>
      </c>
      <c r="C48" s="25">
        <f>IF(A48&gt;'Loan Origination'!$A$5,0,HLOOKUP($A48,'Loan Origination'!$B$56:$AM$60,'Loan Origination'!$AP$60,FALSE))</f>
        <v>0</v>
      </c>
      <c r="D48" s="25">
        <f>VLOOKUP($A48-1, 'Debt Service'!$DZ$206:$EC$242, 'Debt Service'!$EC$201, FALSE)</f>
        <v>0</v>
      </c>
      <c r="E48" s="27">
        <f t="shared" si="11"/>
        <v>0</v>
      </c>
      <c r="F48" s="27"/>
      <c r="G48" s="27">
        <f>ROUND('Debt Service'!EB47, 0)</f>
        <v>0</v>
      </c>
      <c r="H48" s="27">
        <f>'Debt Service'!EA47</f>
        <v>0</v>
      </c>
      <c r="I48" s="27">
        <f t="shared" si="8"/>
        <v>0</v>
      </c>
      <c r="J48" s="27"/>
      <c r="K48" s="27">
        <f t="shared" si="9"/>
        <v>0</v>
      </c>
      <c r="L48" s="28" t="str">
        <f t="shared" si="10"/>
        <v>***</v>
      </c>
      <c r="N48" s="28" t="s">
        <v>114</v>
      </c>
      <c r="O48" s="28" t="s">
        <v>114</v>
      </c>
      <c r="P48" s="28" t="s">
        <v>114</v>
      </c>
      <c r="Q48" s="28" t="s">
        <v>114</v>
      </c>
    </row>
    <row r="49" spans="1:17" s="107" customFormat="1" ht="7" collapsed="1">
      <c r="A49" s="113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9"/>
    </row>
    <row r="50" spans="1:17" ht="16">
      <c r="A50" s="18" t="s">
        <v>7</v>
      </c>
      <c r="B50" s="18"/>
      <c r="C50" s="13"/>
      <c r="D50" s="13"/>
      <c r="E50" s="13"/>
      <c r="F50" s="13"/>
      <c r="G50" s="13">
        <f>SUM(G12:G49)</f>
        <v>741689826</v>
      </c>
      <c r="H50" s="13">
        <f>SUM(H12:H49)</f>
        <v>1149380000</v>
      </c>
      <c r="I50" s="13">
        <f>SUM(I12:I49)</f>
        <v>1891069826</v>
      </c>
      <c r="J50" s="13"/>
      <c r="K50" s="13"/>
      <c r="L50" s="13"/>
    </row>
    <row r="51" spans="1:17" s="107" customFormat="1" ht="10">
      <c r="A51" s="113"/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</row>
    <row r="52" spans="1:17" s="23" customFormat="1">
      <c r="A52" s="233" t="s">
        <v>90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</row>
    <row r="53" spans="1:17" s="23" customFormat="1">
      <c r="A53" s="233" t="s">
        <v>196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</row>
    <row r="54" spans="1:17">
      <c r="A54" s="234" t="s">
        <v>91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</row>
    <row r="55" spans="1:17">
      <c r="A55" s="234" t="s">
        <v>195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</row>
    <row r="56" spans="1:17" s="107" customFormat="1" ht="7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</row>
    <row r="57" spans="1:17" s="107" customFormat="1">
      <c r="A57" s="231" t="s">
        <v>10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</row>
    <row r="58" spans="1:17">
      <c r="C58" s="25"/>
      <c r="D58" s="25"/>
      <c r="E58" s="25"/>
      <c r="F58" s="25"/>
      <c r="G58" s="25"/>
      <c r="L58" s="146"/>
    </row>
    <row r="59" spans="1:17">
      <c r="C59" s="25"/>
      <c r="D59" s="25"/>
      <c r="E59" s="25"/>
      <c r="F59" s="25"/>
      <c r="G59" s="25"/>
      <c r="H59" s="25"/>
      <c r="I59" s="199"/>
      <c r="J59" s="199"/>
      <c r="K59" s="199"/>
      <c r="L59" s="199"/>
    </row>
    <row r="60" spans="1:17">
      <c r="C60" s="25"/>
      <c r="D60" s="25"/>
      <c r="E60" s="25"/>
      <c r="F60" s="25"/>
      <c r="G60" s="25"/>
      <c r="H60" s="25"/>
      <c r="I60" s="27"/>
      <c r="J60" s="27"/>
      <c r="K60" s="27"/>
      <c r="L60" s="27"/>
    </row>
    <row r="61" spans="1:17"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7"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7">
      <c r="C63" s="25"/>
      <c r="D63" s="25"/>
      <c r="E63" s="25"/>
      <c r="F63" s="25"/>
      <c r="G63" s="25"/>
      <c r="H63" s="25"/>
      <c r="I63" s="25"/>
      <c r="J63" s="25"/>
      <c r="K63" s="25"/>
      <c r="L63" s="25"/>
    </row>
  </sheetData>
  <mergeCells count="17">
    <mergeCell ref="E4:J4"/>
    <mergeCell ref="A52:Q52"/>
    <mergeCell ref="A53:Q53"/>
    <mergeCell ref="A54:Q54"/>
    <mergeCell ref="A55:Q55"/>
    <mergeCell ref="N9:Q9"/>
    <mergeCell ref="G9:I9"/>
    <mergeCell ref="K7:L7"/>
    <mergeCell ref="K6:L6"/>
    <mergeCell ref="N8:Q8"/>
    <mergeCell ref="N7:Q7"/>
    <mergeCell ref="A56:Q56"/>
    <mergeCell ref="A57:Q57"/>
    <mergeCell ref="A2:L2"/>
    <mergeCell ref="B8:E8"/>
    <mergeCell ref="A3:L3"/>
    <mergeCell ref="C5:G5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G307"/>
  <sheetViews>
    <sheetView zoomScaleNormal="100" workbookViewId="0">
      <pane xSplit="20" ySplit="10" topLeftCell="DD16" activePane="bottomRight" state="frozen"/>
      <selection pane="topRight" activeCell="U1" sqref="U1"/>
      <selection pane="bottomLeft" activeCell="A11" sqref="A11"/>
      <selection pane="bottomRight" activeCell="DW58" sqref="DW58"/>
    </sheetView>
  </sheetViews>
  <sheetFormatPr baseColWidth="10" defaultColWidth="7.5" defaultRowHeight="13" outlineLevelRow="1" outlineLevelCol="2"/>
  <cols>
    <col min="1" max="1" width="9.1640625" bestFit="1" customWidth="1"/>
    <col min="2" max="4" width="9.5" hidden="1" customWidth="1" outlineLevel="1"/>
    <col min="5" max="5" width="6.5" hidden="1" customWidth="1" outlineLevel="1"/>
    <col min="6" max="6" width="11.1640625" hidden="1" customWidth="1" outlineLevel="1"/>
    <col min="7" max="7" width="8" hidden="1" customWidth="1" outlineLevel="1"/>
    <col min="8" max="8" width="11.1640625" hidden="1" customWidth="1" outlineLevel="1"/>
    <col min="9" max="9" width="2.5" hidden="1" customWidth="1" outlineLevel="1"/>
    <col min="10" max="10" width="11.1640625" hidden="1" customWidth="1" outlineLevel="1"/>
    <col min="11" max="11" width="9.1640625" hidden="1" customWidth="1" outlineLevel="1"/>
    <col min="12" max="12" width="12.6640625" customWidth="1" collapsed="1"/>
    <col min="13" max="13" width="12.1640625" customWidth="1" outlineLevel="1"/>
    <col min="14" max="14" width="7.1640625" customWidth="1" outlineLevel="1"/>
    <col min="15" max="15" width="11.1640625" customWidth="1" outlineLevel="1"/>
    <col min="16" max="16" width="1.33203125" customWidth="1" outlineLevel="1"/>
    <col min="17" max="17" width="13" customWidth="1" outlineLevel="1"/>
    <col min="18" max="18" width="7.6640625" customWidth="1" outlineLevel="1"/>
    <col min="19" max="19" width="10.1640625" customWidth="1" outlineLevel="1"/>
    <col min="20" max="20" width="3.1640625" customWidth="1" outlineLevel="1"/>
    <col min="21" max="22" width="11.1640625" bestFit="1" customWidth="1"/>
    <col min="23" max="23" width="3.1640625" bestFit="1" customWidth="1"/>
    <col min="24" max="24" width="13.6640625" bestFit="1" customWidth="1"/>
    <col min="25" max="26" width="12.1640625" bestFit="1" customWidth="1"/>
    <col min="27" max="27" width="3.1640625" bestFit="1" customWidth="1"/>
    <col min="28" max="28" width="12.1640625" bestFit="1" customWidth="1"/>
    <col min="29" max="29" width="7.6640625" bestFit="1" customWidth="1"/>
    <col min="30" max="30" width="11.1640625" bestFit="1" customWidth="1"/>
    <col min="31" max="31" width="3.1640625" bestFit="1" customWidth="1"/>
    <col min="32" max="32" width="12.1640625" customWidth="1" outlineLevel="2"/>
    <col min="33" max="34" width="11.1640625" customWidth="1" outlineLevel="2"/>
    <col min="35" max="35" width="3.1640625" customWidth="1" outlineLevel="2"/>
    <col min="36" max="36" width="12.1640625" customWidth="1" outlineLevel="2"/>
    <col min="37" max="37" width="9.33203125" customWidth="1" outlineLevel="2"/>
    <col min="38" max="38" width="11.1640625" customWidth="1" outlineLevel="2"/>
    <col min="39" max="39" width="3.1640625" customWidth="1" outlineLevel="2"/>
    <col min="40" max="40" width="11.1640625" customWidth="1" outlineLevel="2"/>
    <col min="41" max="41" width="9.33203125" customWidth="1" outlineLevel="2"/>
    <col min="42" max="42" width="11.1640625" customWidth="1" outlineLevel="2"/>
    <col min="43" max="43" width="1.33203125" customWidth="1" outlineLevel="2"/>
    <col min="44" max="44" width="11.1640625" customWidth="1" outlineLevel="2"/>
    <col min="45" max="45" width="10.33203125" customWidth="1" outlineLevel="2"/>
    <col min="46" max="46" width="11.1640625" customWidth="1" outlineLevel="2"/>
    <col min="47" max="47" width="3.83203125" customWidth="1" outlineLevel="2"/>
    <col min="48" max="49" width="12.1640625" customWidth="1" outlineLevel="1"/>
    <col min="50" max="50" width="3.83203125" customWidth="1" outlineLevel="1"/>
    <col min="51" max="51" width="12.1640625" customWidth="1" outlineLevel="2"/>
    <col min="52" max="52" width="8.1640625" customWidth="1" outlineLevel="2"/>
    <col min="53" max="53" width="11.1640625" customWidth="1" outlineLevel="2"/>
    <col min="54" max="54" width="3.1640625" customWidth="1" outlineLevel="2"/>
    <col min="55" max="55" width="13.1640625" customWidth="1" outlineLevel="2"/>
    <col min="56" max="56" width="8.1640625" customWidth="1" outlineLevel="2"/>
    <col min="57" max="57" width="11.1640625" customWidth="1" outlineLevel="2"/>
    <col min="58" max="58" width="3.1640625" customWidth="1" outlineLevel="2"/>
    <col min="59" max="59" width="13.1640625" customWidth="1" outlineLevel="2"/>
    <col min="60" max="60" width="8.1640625" customWidth="1" outlineLevel="2"/>
    <col min="61" max="61" width="12.1640625" customWidth="1" outlineLevel="2"/>
    <col min="62" max="62" width="3.1640625" customWidth="1" outlineLevel="2"/>
    <col min="63" max="64" width="12.1640625" customWidth="1" outlineLevel="1"/>
    <col min="65" max="65" width="3.1640625" customWidth="1" outlineLevel="1"/>
    <col min="66" max="68" width="12.1640625" customWidth="1" outlineLevel="2"/>
    <col min="69" max="69" width="4.1640625" customWidth="1" outlineLevel="2"/>
    <col min="70" max="72" width="12.1640625" customWidth="1" outlineLevel="2"/>
    <col min="73" max="73" width="4.1640625" customWidth="1" outlineLevel="2"/>
    <col min="74" max="75" width="12.1640625" customWidth="1" outlineLevel="1"/>
    <col min="76" max="76" width="4.1640625" customWidth="1" outlineLevel="1"/>
    <col min="77" max="79" width="12.1640625" customWidth="1" outlineLevel="1"/>
    <col min="80" max="80" width="3.1640625" customWidth="1" outlineLevel="1"/>
    <col min="81" max="81" width="13.6640625" customWidth="1" outlineLevel="2"/>
    <col min="82" max="83" width="12.1640625" customWidth="1" outlineLevel="2"/>
    <col min="84" max="84" width="4.1640625" customWidth="1" outlineLevel="2"/>
    <col min="85" max="87" width="12.1640625" customWidth="1" outlineLevel="2"/>
    <col min="88" max="88" width="4.1640625" customWidth="1" outlineLevel="2"/>
    <col min="89" max="91" width="12.1640625" customWidth="1" outlineLevel="2"/>
    <col min="92" max="92" width="4.1640625" customWidth="1" outlineLevel="2"/>
    <col min="93" max="93" width="14.6640625" customWidth="1" outlineLevel="1"/>
    <col min="94" max="94" width="12.1640625" customWidth="1" outlineLevel="1"/>
    <col min="95" max="95" width="4.1640625" customWidth="1" outlineLevel="1"/>
    <col min="96" max="96" width="12.1640625" customWidth="1" outlineLevel="2"/>
    <col min="97" max="97" width="7.1640625" customWidth="1" outlineLevel="2"/>
    <col min="98" max="98" width="11.1640625" customWidth="1" outlineLevel="2"/>
    <col min="99" max="99" width="4.1640625" customWidth="1" outlineLevel="2"/>
    <col min="100" max="100" width="12.1640625" customWidth="1" outlineLevel="2"/>
    <col min="101" max="101" width="7.1640625" customWidth="1" outlineLevel="2"/>
    <col min="102" max="102" width="11.1640625" customWidth="1" outlineLevel="2"/>
    <col min="103" max="103" width="4.1640625" customWidth="1" outlineLevel="2"/>
    <col min="104" max="104" width="14.33203125" customWidth="1" outlineLevel="1"/>
    <col min="105" max="105" width="12.1640625" customWidth="1" outlineLevel="1"/>
    <col min="106" max="106" width="4.1640625" customWidth="1" outlineLevel="1"/>
    <col min="107" max="109" width="12.1640625" customWidth="1" outlineLevel="2"/>
    <col min="110" max="110" width="4.1640625" customWidth="1" outlineLevel="2"/>
    <col min="111" max="113" width="12.1640625" customWidth="1" outlineLevel="2"/>
    <col min="114" max="114" width="4.1640625" bestFit="1" customWidth="1" outlineLevel="2"/>
    <col min="115" max="117" width="12.1640625" customWidth="1" outlineLevel="2"/>
    <col min="118" max="118" width="4.1640625" bestFit="1" customWidth="1" outlineLevel="2"/>
    <col min="119" max="121" width="12.1640625" customWidth="1" outlineLevel="2"/>
    <col min="122" max="122" width="4.1640625" customWidth="1" outlineLevel="2"/>
    <col min="123" max="125" width="12.1640625" customWidth="1" outlineLevel="2"/>
    <col min="126" max="126" width="6.5" customWidth="1" outlineLevel="1"/>
    <col min="127" max="128" width="13.6640625" bestFit="1" customWidth="1"/>
    <col min="129" max="129" width="3.1640625" customWidth="1"/>
    <col min="130" max="130" width="5.1640625" bestFit="1" customWidth="1"/>
    <col min="131" max="133" width="14.6640625" bestFit="1" customWidth="1"/>
    <col min="134" max="134" width="3.1640625" bestFit="1" customWidth="1"/>
    <col min="135" max="135" width="14.6640625" bestFit="1" customWidth="1"/>
    <col min="136" max="136" width="3.5" customWidth="1"/>
    <col min="137" max="137" width="15.6640625" bestFit="1" customWidth="1"/>
  </cols>
  <sheetData>
    <row r="1" spans="1:135" ht="16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238"/>
      <c r="CA1" s="238"/>
      <c r="CB1" s="238"/>
      <c r="CC1" s="238"/>
      <c r="CD1" s="238"/>
      <c r="CE1" s="238"/>
      <c r="CF1" s="238"/>
      <c r="CG1" s="238"/>
      <c r="CH1" s="238"/>
      <c r="CI1" s="238"/>
      <c r="CJ1" s="238"/>
      <c r="CK1" s="238"/>
      <c r="CL1" s="238"/>
      <c r="CM1" s="238"/>
      <c r="CN1" s="238"/>
      <c r="CO1" s="238"/>
      <c r="CP1" s="238"/>
      <c r="CQ1" s="238"/>
      <c r="CR1" s="238"/>
      <c r="CS1" s="238"/>
      <c r="CT1" s="238"/>
      <c r="CU1" s="238"/>
      <c r="CV1" s="238"/>
      <c r="CW1" s="238"/>
      <c r="CX1" s="238"/>
      <c r="CY1" s="238"/>
      <c r="CZ1" s="238"/>
      <c r="DA1" s="238"/>
      <c r="DB1" s="238"/>
      <c r="DC1" s="238"/>
      <c r="DD1" s="238"/>
      <c r="DE1" s="238"/>
      <c r="DF1" s="238"/>
      <c r="DG1" s="238"/>
      <c r="DH1" s="238"/>
      <c r="DI1" s="238"/>
      <c r="DJ1" s="238"/>
      <c r="DK1" s="238"/>
      <c r="DL1" s="238"/>
      <c r="DM1" s="238"/>
      <c r="DN1" s="238"/>
      <c r="DO1" s="238"/>
      <c r="DP1" s="238"/>
      <c r="DQ1" s="238"/>
      <c r="DR1" s="238"/>
      <c r="DS1" s="238"/>
      <c r="DT1" s="238"/>
      <c r="DU1" s="238"/>
      <c r="DV1" s="238"/>
      <c r="DW1" s="238"/>
      <c r="DX1" s="238"/>
      <c r="DY1" s="238"/>
      <c r="DZ1" s="238"/>
      <c r="EA1" s="238"/>
      <c r="EB1" s="238"/>
      <c r="EC1" s="238"/>
    </row>
    <row r="2" spans="1:135" ht="16">
      <c r="A2" s="238" t="s">
        <v>185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</row>
    <row r="3" spans="1:135" s="176" customFormat="1" ht="1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</row>
    <row r="4" spans="1:135" s="174" customFormat="1" ht="16">
      <c r="A4" s="245" t="s">
        <v>67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</row>
    <row r="5" spans="1:135" ht="14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</row>
    <row r="6" spans="1:135" outlineLevel="1">
      <c r="A6" s="131">
        <f>1</f>
        <v>1</v>
      </c>
      <c r="B6" s="131">
        <f t="shared" ref="B6" si="0">A6+1</f>
        <v>2</v>
      </c>
      <c r="C6" s="131">
        <f t="shared" ref="C6" si="1">B6+1</f>
        <v>3</v>
      </c>
      <c r="D6" s="131">
        <f t="shared" ref="D6" si="2">C6+1</f>
        <v>4</v>
      </c>
      <c r="E6" s="131">
        <f t="shared" ref="E6" si="3">D6+1</f>
        <v>5</v>
      </c>
      <c r="F6" s="131">
        <f t="shared" ref="F6" si="4">E6+1</f>
        <v>6</v>
      </c>
      <c r="G6" s="131">
        <f t="shared" ref="G6" si="5">F6+1</f>
        <v>7</v>
      </c>
      <c r="H6" s="131">
        <f t="shared" ref="H6" si="6">G6+1</f>
        <v>8</v>
      </c>
      <c r="I6" s="131">
        <f t="shared" ref="I6" si="7">H6+1</f>
        <v>9</v>
      </c>
      <c r="J6" s="131">
        <f t="shared" ref="J6" si="8">I6+1</f>
        <v>10</v>
      </c>
      <c r="K6" s="131">
        <f t="shared" ref="K6" si="9">J6+1</f>
        <v>11</v>
      </c>
      <c r="L6" s="131">
        <f t="shared" ref="L6" si="10">K6+1</f>
        <v>12</v>
      </c>
      <c r="M6" s="131">
        <f t="shared" ref="M6" si="11">L6+1</f>
        <v>13</v>
      </c>
      <c r="N6" s="131">
        <f t="shared" ref="N6" si="12">M6+1</f>
        <v>14</v>
      </c>
      <c r="O6" s="131">
        <f t="shared" ref="O6" si="13">N6+1</f>
        <v>15</v>
      </c>
      <c r="P6" s="131">
        <f t="shared" ref="P6" si="14">O6+1</f>
        <v>16</v>
      </c>
      <c r="Q6" s="131">
        <f t="shared" ref="Q6" si="15">P6+1</f>
        <v>17</v>
      </c>
      <c r="R6" s="131">
        <f t="shared" ref="R6" si="16">Q6+1</f>
        <v>18</v>
      </c>
      <c r="S6" s="131">
        <f t="shared" ref="S6" si="17">R6+1</f>
        <v>19</v>
      </c>
      <c r="T6" s="131">
        <f t="shared" ref="T6" si="18">S6+1</f>
        <v>20</v>
      </c>
      <c r="U6" s="131">
        <f t="shared" ref="U6" si="19">T6+1</f>
        <v>21</v>
      </c>
      <c r="V6" s="131">
        <f t="shared" ref="V6" si="20">U6+1</f>
        <v>22</v>
      </c>
      <c r="W6" s="131">
        <f t="shared" ref="W6" si="21">V6+1</f>
        <v>23</v>
      </c>
      <c r="X6" s="131">
        <f t="shared" ref="X6" si="22">W6+1</f>
        <v>24</v>
      </c>
      <c r="Y6" s="131">
        <f t="shared" ref="Y6" si="23">X6+1</f>
        <v>25</v>
      </c>
      <c r="Z6" s="131">
        <f t="shared" ref="Z6" si="24">Y6+1</f>
        <v>26</v>
      </c>
      <c r="AA6" s="131">
        <f t="shared" ref="AA6" si="25">Z6+1</f>
        <v>27</v>
      </c>
      <c r="AB6" s="131">
        <f t="shared" ref="AB6" si="26">AA6+1</f>
        <v>28</v>
      </c>
      <c r="AC6" s="131">
        <f t="shared" ref="AC6" si="27">AB6+1</f>
        <v>29</v>
      </c>
      <c r="AD6" s="131">
        <f t="shared" ref="AD6" si="28">AC6+1</f>
        <v>30</v>
      </c>
      <c r="AE6" s="131">
        <f t="shared" ref="AE6" si="29">AD6+1</f>
        <v>31</v>
      </c>
      <c r="AF6" s="131">
        <f t="shared" ref="AF6" si="30">AE6+1</f>
        <v>32</v>
      </c>
      <c r="AG6" s="131">
        <f t="shared" ref="AG6" si="31">AF6+1</f>
        <v>33</v>
      </c>
      <c r="AH6" s="131">
        <f t="shared" ref="AH6" si="32">AG6+1</f>
        <v>34</v>
      </c>
      <c r="AI6" s="131">
        <f t="shared" ref="AI6" si="33">AH6+1</f>
        <v>35</v>
      </c>
      <c r="AJ6" s="131">
        <f t="shared" ref="AJ6" si="34">AI6+1</f>
        <v>36</v>
      </c>
      <c r="AK6" s="131">
        <f t="shared" ref="AK6" si="35">AJ6+1</f>
        <v>37</v>
      </c>
      <c r="AL6" s="131">
        <f t="shared" ref="AL6" si="36">AK6+1</f>
        <v>38</v>
      </c>
      <c r="AM6" s="131">
        <f t="shared" ref="AM6" si="37">AL6+1</f>
        <v>39</v>
      </c>
      <c r="AN6" s="131">
        <f t="shared" ref="AN6" si="38">AM6+1</f>
        <v>40</v>
      </c>
      <c r="AO6" s="131">
        <f t="shared" ref="AO6" si="39">AN6+1</f>
        <v>41</v>
      </c>
      <c r="AP6" s="131">
        <f t="shared" ref="AP6" si="40">AO6+1</f>
        <v>42</v>
      </c>
      <c r="AQ6" s="131">
        <f t="shared" ref="AQ6" si="41">AP6+1</f>
        <v>43</v>
      </c>
      <c r="AR6" s="131">
        <f t="shared" ref="AR6" si="42">AQ6+1</f>
        <v>44</v>
      </c>
      <c r="AS6" s="131">
        <f t="shared" ref="AS6" si="43">AR6+1</f>
        <v>45</v>
      </c>
      <c r="AT6" s="131">
        <f t="shared" ref="AT6" si="44">AS6+1</f>
        <v>46</v>
      </c>
      <c r="AU6" s="131">
        <f t="shared" ref="AU6" si="45">AT6+1</f>
        <v>47</v>
      </c>
      <c r="AV6" s="131">
        <f t="shared" ref="AV6" si="46">AU6+1</f>
        <v>48</v>
      </c>
      <c r="AW6" s="131">
        <f t="shared" ref="AW6" si="47">AV6+1</f>
        <v>49</v>
      </c>
      <c r="AX6" s="131">
        <f t="shared" ref="AX6:AY6" si="48">AW6+1</f>
        <v>50</v>
      </c>
      <c r="AY6" s="131">
        <f t="shared" si="48"/>
        <v>51</v>
      </c>
      <c r="AZ6" s="131">
        <f t="shared" ref="AZ6" si="49">AY6+1</f>
        <v>52</v>
      </c>
      <c r="BA6" s="131">
        <f t="shared" ref="BA6" si="50">AZ6+1</f>
        <v>53</v>
      </c>
      <c r="BB6" s="131">
        <f t="shared" ref="BB6" si="51">BA6+1</f>
        <v>54</v>
      </c>
      <c r="BC6" s="131">
        <f t="shared" ref="BC6" si="52">BB6+1</f>
        <v>55</v>
      </c>
      <c r="BD6" s="131">
        <f t="shared" ref="BD6" si="53">BC6+1</f>
        <v>56</v>
      </c>
      <c r="BE6" s="131">
        <f t="shared" ref="BE6" si="54">BD6+1</f>
        <v>57</v>
      </c>
      <c r="BF6" s="131">
        <f t="shared" ref="BF6" si="55">BE6+1</f>
        <v>58</v>
      </c>
      <c r="BG6" s="131">
        <f t="shared" ref="BG6" si="56">BF6+1</f>
        <v>59</v>
      </c>
      <c r="BH6" s="131">
        <f t="shared" ref="BH6" si="57">BG6+1</f>
        <v>60</v>
      </c>
      <c r="BI6" s="131">
        <f t="shared" ref="BI6" si="58">BH6+1</f>
        <v>61</v>
      </c>
      <c r="BJ6" s="131">
        <f t="shared" ref="BJ6" si="59">BI6+1</f>
        <v>62</v>
      </c>
      <c r="BK6" s="131">
        <f t="shared" ref="BK6" si="60">BJ6+1</f>
        <v>63</v>
      </c>
      <c r="BL6" s="131">
        <f t="shared" ref="BL6" si="61">BK6+1</f>
        <v>64</v>
      </c>
      <c r="BM6" s="131">
        <f t="shared" ref="BM6" si="62">BL6+1</f>
        <v>65</v>
      </c>
      <c r="BN6" s="131">
        <f t="shared" ref="BN6" si="63">BM6+1</f>
        <v>66</v>
      </c>
      <c r="BO6" s="131">
        <f t="shared" ref="BO6" si="64">BN6+1</f>
        <v>67</v>
      </c>
      <c r="BP6" s="131">
        <f t="shared" ref="BP6" si="65">BO6+1</f>
        <v>68</v>
      </c>
      <c r="BQ6" s="131">
        <f t="shared" ref="BQ6" si="66">BP6+1</f>
        <v>69</v>
      </c>
      <c r="BR6" s="131">
        <f t="shared" ref="BR6" si="67">BQ6+1</f>
        <v>70</v>
      </c>
      <c r="BS6" s="131">
        <f t="shared" ref="BS6" si="68">BR6+1</f>
        <v>71</v>
      </c>
      <c r="BT6" s="131">
        <f t="shared" ref="BT6" si="69">BS6+1</f>
        <v>72</v>
      </c>
      <c r="BU6" s="131">
        <f t="shared" ref="BU6" si="70">BT6+1</f>
        <v>73</v>
      </c>
      <c r="BV6" s="131">
        <f t="shared" ref="BV6" si="71">BU6+1</f>
        <v>74</v>
      </c>
      <c r="BW6" s="131">
        <f t="shared" ref="BW6" si="72">BV6+1</f>
        <v>75</v>
      </c>
      <c r="BX6" s="131">
        <f t="shared" ref="BX6" si="73">BW6+1</f>
        <v>76</v>
      </c>
      <c r="BY6" s="131">
        <f t="shared" ref="BY6" si="74">BX6+1</f>
        <v>77</v>
      </c>
      <c r="BZ6" s="131">
        <f t="shared" ref="BZ6" si="75">BY6+1</f>
        <v>78</v>
      </c>
      <c r="CA6" s="131">
        <f t="shared" ref="CA6" si="76">BZ6+1</f>
        <v>79</v>
      </c>
      <c r="CB6" s="131">
        <f t="shared" ref="CB6" si="77">CA6+1</f>
        <v>80</v>
      </c>
      <c r="CC6" s="131">
        <f t="shared" ref="CC6" si="78">CB6+1</f>
        <v>81</v>
      </c>
      <c r="CD6" s="131">
        <f t="shared" ref="CD6" si="79">CC6+1</f>
        <v>82</v>
      </c>
      <c r="CE6" s="131">
        <f t="shared" ref="CE6" si="80">CD6+1</f>
        <v>83</v>
      </c>
      <c r="CF6" s="131">
        <f t="shared" ref="CF6" si="81">CE6+1</f>
        <v>84</v>
      </c>
      <c r="CG6" s="131">
        <f t="shared" ref="CG6" si="82">CF6+1</f>
        <v>85</v>
      </c>
      <c r="CH6" s="131">
        <f t="shared" ref="CH6" si="83">CG6+1</f>
        <v>86</v>
      </c>
      <c r="CI6" s="131">
        <f t="shared" ref="CI6" si="84">CH6+1</f>
        <v>87</v>
      </c>
      <c r="CJ6" s="131">
        <f t="shared" ref="CJ6" si="85">CI6+1</f>
        <v>88</v>
      </c>
      <c r="CK6" s="131">
        <f t="shared" ref="CK6" si="86">CJ6+1</f>
        <v>89</v>
      </c>
      <c r="CL6" s="131">
        <f t="shared" ref="CL6" si="87">CK6+1</f>
        <v>90</v>
      </c>
      <c r="CM6" s="131">
        <f t="shared" ref="CM6" si="88">CL6+1</f>
        <v>91</v>
      </c>
      <c r="CN6" s="131">
        <f t="shared" ref="CN6" si="89">CM6+1</f>
        <v>92</v>
      </c>
      <c r="CO6" s="131">
        <f t="shared" ref="CO6" si="90">CN6+1</f>
        <v>93</v>
      </c>
      <c r="CP6" s="131">
        <f t="shared" ref="CP6" si="91">CO6+1</f>
        <v>94</v>
      </c>
      <c r="CQ6" s="131">
        <f t="shared" ref="CQ6" si="92">CP6+1</f>
        <v>95</v>
      </c>
      <c r="CR6" s="131">
        <f t="shared" ref="CR6" si="93">CQ6+1</f>
        <v>96</v>
      </c>
      <c r="CS6" s="131">
        <f t="shared" ref="CS6" si="94">CR6+1</f>
        <v>97</v>
      </c>
      <c r="CT6" s="131">
        <f t="shared" ref="CT6" si="95">CS6+1</f>
        <v>98</v>
      </c>
      <c r="CU6" s="131">
        <f t="shared" ref="CU6:CV6" si="96">CT6+1</f>
        <v>99</v>
      </c>
      <c r="CV6" s="131">
        <f t="shared" si="96"/>
        <v>100</v>
      </c>
      <c r="CW6" s="131">
        <f t="shared" ref="CW6" si="97">CV6+1</f>
        <v>101</v>
      </c>
      <c r="CX6" s="131">
        <f t="shared" ref="CX6" si="98">CW6+1</f>
        <v>102</v>
      </c>
      <c r="CY6" s="131">
        <f t="shared" ref="CY6" si="99">CX6+1</f>
        <v>103</v>
      </c>
      <c r="CZ6" s="131">
        <f t="shared" ref="CZ6" si="100">CY6+1</f>
        <v>104</v>
      </c>
      <c r="DA6" s="131">
        <f t="shared" ref="DA6" si="101">CZ6+1</f>
        <v>105</v>
      </c>
      <c r="DB6" s="131">
        <f t="shared" ref="DB6" si="102">DA6+1</f>
        <v>106</v>
      </c>
      <c r="DC6" s="131">
        <f t="shared" ref="DC6" si="103">DB6+1</f>
        <v>107</v>
      </c>
      <c r="DD6" s="131">
        <f t="shared" ref="DD6" si="104">DC6+1</f>
        <v>108</v>
      </c>
      <c r="DE6" s="131">
        <f t="shared" ref="DE6" si="105">DD6+1</f>
        <v>109</v>
      </c>
      <c r="DF6" s="131">
        <f t="shared" ref="DF6" si="106">DE6+1</f>
        <v>110</v>
      </c>
      <c r="DG6" s="131">
        <f t="shared" ref="DG6" si="107">DF6+1</f>
        <v>111</v>
      </c>
      <c r="DH6" s="131">
        <f t="shared" ref="DH6" si="108">DG6+1</f>
        <v>112</v>
      </c>
      <c r="DI6" s="131">
        <f t="shared" ref="DI6" si="109">DH6+1</f>
        <v>113</v>
      </c>
      <c r="DJ6" s="131">
        <f t="shared" ref="DJ6" si="110">DI6+1</f>
        <v>114</v>
      </c>
      <c r="DK6" s="131">
        <f t="shared" ref="DK6" si="111">DJ6+1</f>
        <v>115</v>
      </c>
      <c r="DL6" s="131">
        <f t="shared" ref="DL6" si="112">DK6+1</f>
        <v>116</v>
      </c>
      <c r="DM6" s="131">
        <f t="shared" ref="DM6" si="113">DL6+1</f>
        <v>117</v>
      </c>
      <c r="DN6" s="131">
        <f t="shared" ref="DN6" si="114">DM6+1</f>
        <v>118</v>
      </c>
      <c r="DO6" s="131">
        <f t="shared" ref="DO6" si="115">DN6+1</f>
        <v>119</v>
      </c>
      <c r="DP6" s="131">
        <f t="shared" ref="DP6" si="116">DO6+1</f>
        <v>120</v>
      </c>
      <c r="DQ6" s="131">
        <f t="shared" ref="DQ6" si="117">DP6+1</f>
        <v>121</v>
      </c>
      <c r="DR6" s="131">
        <f t="shared" ref="DR6" si="118">DQ6+1</f>
        <v>122</v>
      </c>
      <c r="DS6" s="131">
        <f t="shared" ref="DS6" si="119">DR6+1</f>
        <v>123</v>
      </c>
      <c r="DT6" s="131">
        <f t="shared" ref="DT6" si="120">DS6+1</f>
        <v>124</v>
      </c>
      <c r="DU6" s="131">
        <f t="shared" ref="DU6" si="121">DT6+1</f>
        <v>125</v>
      </c>
      <c r="DV6" s="131">
        <f t="shared" ref="DV6" si="122">DU6+1</f>
        <v>126</v>
      </c>
      <c r="DW6" s="131">
        <f t="shared" ref="DW6" si="123">DV6+1</f>
        <v>127</v>
      </c>
      <c r="DX6" s="131">
        <f t="shared" ref="DX6" si="124">DW6+1</f>
        <v>128</v>
      </c>
      <c r="DZ6" s="131">
        <f t="shared" ref="DZ6:EA6" si="125">DY6+1</f>
        <v>1</v>
      </c>
      <c r="EA6" s="131">
        <f t="shared" si="125"/>
        <v>2</v>
      </c>
      <c r="EB6" s="131">
        <f t="shared" ref="EB6" si="126">EA6+1</f>
        <v>3</v>
      </c>
      <c r="EC6" s="131">
        <f t="shared" ref="EC6" si="127">EB6+1</f>
        <v>4</v>
      </c>
    </row>
    <row r="7" spans="1:135" s="32" customFormat="1" ht="14" outlineLevel="1">
      <c r="A7"/>
      <c r="B7"/>
      <c r="C7"/>
      <c r="D7"/>
      <c r="E7"/>
      <c r="F7" s="221" t="s">
        <v>160</v>
      </c>
      <c r="G7" s="221"/>
      <c r="H7" s="221"/>
      <c r="I7" s="18"/>
      <c r="J7" s="257" t="s">
        <v>148</v>
      </c>
      <c r="K7" s="257"/>
      <c r="R7" s="5"/>
      <c r="S7" s="5"/>
      <c r="T7" s="5"/>
      <c r="U7" s="5"/>
      <c r="V7" s="5"/>
      <c r="X7" s="5"/>
      <c r="Y7" s="5"/>
      <c r="Z7" s="5"/>
      <c r="AA7" s="5"/>
      <c r="BQ7" s="124"/>
      <c r="BX7" s="124"/>
      <c r="CB7" s="124"/>
      <c r="CF7" s="124"/>
      <c r="CJ7" s="124"/>
      <c r="EE7" s="3" t="s">
        <v>8</v>
      </c>
    </row>
    <row r="8" spans="1:135" s="33" customFormat="1" ht="14" outlineLevel="1">
      <c r="A8" s="2"/>
      <c r="B8" s="3" t="s">
        <v>201</v>
      </c>
      <c r="C8" s="3" t="s">
        <v>202</v>
      </c>
      <c r="D8" s="1"/>
      <c r="E8" s="1"/>
      <c r="F8" s="1" t="s">
        <v>18</v>
      </c>
      <c r="G8" s="1" t="s">
        <v>72</v>
      </c>
      <c r="H8" s="1" t="s">
        <v>45</v>
      </c>
      <c r="I8" s="1"/>
      <c r="J8" s="1" t="s">
        <v>45</v>
      </c>
      <c r="K8" s="1" t="s">
        <v>18</v>
      </c>
      <c r="L8" s="3" t="s">
        <v>100</v>
      </c>
      <c r="M8" s="242" t="str">
        <f>M52</f>
        <v>1997 B Series</v>
      </c>
      <c r="N8" s="242"/>
      <c r="O8" s="242"/>
      <c r="P8" s="153"/>
      <c r="Q8" s="242" t="str">
        <f>Q52</f>
        <v>1997 C Series</v>
      </c>
      <c r="R8" s="242"/>
      <c r="S8" s="242"/>
      <c r="T8" s="153"/>
      <c r="U8" s="242" t="str">
        <f>U52</f>
        <v>1997 Series</v>
      </c>
      <c r="V8" s="242"/>
      <c r="W8" s="5"/>
      <c r="X8" s="243" t="str">
        <f>X$52</f>
        <v>1998 A Series</v>
      </c>
      <c r="Y8" s="243"/>
      <c r="Z8" s="243"/>
      <c r="AA8" s="5"/>
      <c r="AB8" s="244" t="str">
        <f>AB$52</f>
        <v>2002 C Series</v>
      </c>
      <c r="AC8" s="244"/>
      <c r="AD8" s="244"/>
      <c r="AE8" s="5"/>
      <c r="AF8" s="241" t="str">
        <f>AF$52</f>
        <v>2007 A Series</v>
      </c>
      <c r="AG8" s="241"/>
      <c r="AH8" s="241"/>
      <c r="AI8" s="148"/>
      <c r="AJ8" s="241" t="str">
        <f>AJ$52</f>
        <v>2007 B Series</v>
      </c>
      <c r="AK8" s="241"/>
      <c r="AL8" s="241"/>
      <c r="AM8" s="148"/>
      <c r="AN8" s="241" t="str">
        <f>AN$52</f>
        <v>2007 C1 Series</v>
      </c>
      <c r="AO8" s="241"/>
      <c r="AP8" s="241"/>
      <c r="AQ8" s="148"/>
      <c r="AR8" s="241" t="str">
        <f>AR$52</f>
        <v>2007 C2 Series</v>
      </c>
      <c r="AS8" s="241"/>
      <c r="AT8" s="241"/>
      <c r="AU8" s="148"/>
      <c r="AV8" s="252" t="str">
        <f>AV$52</f>
        <v>2007 Series</v>
      </c>
      <c r="AW8" s="252"/>
      <c r="AX8" s="3"/>
      <c r="AY8" s="246" t="str">
        <f>AY$52</f>
        <v>2018 A Series</v>
      </c>
      <c r="AZ8" s="246"/>
      <c r="BA8" s="246"/>
      <c r="BB8" s="156"/>
      <c r="BC8" s="246" t="str">
        <f>BC$52</f>
        <v>2018 D Series</v>
      </c>
      <c r="BD8" s="246"/>
      <c r="BE8" s="246"/>
      <c r="BF8" s="156"/>
      <c r="BG8" s="246" t="str">
        <f>BG$52</f>
        <v>2018 E Series</v>
      </c>
      <c r="BH8" s="246"/>
      <c r="BI8" s="246"/>
      <c r="BJ8" s="156"/>
      <c r="BK8" s="247" t="str">
        <f>BK$52</f>
        <v>2018 Series</v>
      </c>
      <c r="BL8" s="247"/>
      <c r="BM8" s="5"/>
      <c r="BN8" s="248" t="str">
        <f>BN$52</f>
        <v>2020 B Series</v>
      </c>
      <c r="BO8" s="248"/>
      <c r="BP8" s="248"/>
      <c r="BQ8" s="158"/>
      <c r="BR8" s="248" t="str">
        <f>BR$52</f>
        <v>2020 D Series</v>
      </c>
      <c r="BS8" s="248"/>
      <c r="BT8" s="248"/>
      <c r="BU8" s="159"/>
      <c r="BV8" s="248" t="str">
        <f>BV$52</f>
        <v>2020 BCD Series</v>
      </c>
      <c r="BW8" s="248"/>
      <c r="BX8" s="124"/>
      <c r="BY8" s="251" t="str">
        <f>BY$52</f>
        <v>2021 A Series</v>
      </c>
      <c r="BZ8" s="251"/>
      <c r="CA8" s="251"/>
      <c r="CB8" s="124"/>
      <c r="CC8" s="240" t="str">
        <f>CC$52</f>
        <v>2022 A Series</v>
      </c>
      <c r="CD8" s="240"/>
      <c r="CE8" s="240"/>
      <c r="CF8" s="160"/>
      <c r="CG8" s="240" t="str">
        <f>CG$52</f>
        <v>2022 B Series</v>
      </c>
      <c r="CH8" s="240"/>
      <c r="CI8" s="240"/>
      <c r="CJ8" s="160"/>
      <c r="CK8" s="240" t="str">
        <f>CK$52</f>
        <v>2022 C Series</v>
      </c>
      <c r="CL8" s="240"/>
      <c r="CM8" s="240"/>
      <c r="CN8" s="161"/>
      <c r="CO8" s="240" t="str">
        <f>CO$52</f>
        <v>2022 ABC Series</v>
      </c>
      <c r="CP8" s="240"/>
      <c r="CQ8" s="32"/>
      <c r="CR8" s="249" t="str">
        <f>CR52</f>
        <v>2022 D Series</v>
      </c>
      <c r="CS8" s="249"/>
      <c r="CT8" s="249"/>
      <c r="CU8" s="163"/>
      <c r="CV8" s="249" t="str">
        <f>CV52</f>
        <v>2022 E Series</v>
      </c>
      <c r="CW8" s="249"/>
      <c r="CX8" s="249"/>
      <c r="CY8" s="149"/>
      <c r="CZ8" s="249" t="str">
        <f>CZ52</f>
        <v>2022 DE Series</v>
      </c>
      <c r="DA8" s="249"/>
      <c r="DB8" s="32"/>
      <c r="DC8" s="248" t="str">
        <f>DC$52</f>
        <v>2023 Series</v>
      </c>
      <c r="DD8" s="248"/>
      <c r="DE8" s="248"/>
      <c r="DF8" s="32"/>
      <c r="DG8" s="248" t="str">
        <f>DG$52</f>
        <v>2024 Series</v>
      </c>
      <c r="DH8" s="248"/>
      <c r="DI8" s="248"/>
      <c r="DJ8" s="32"/>
      <c r="DK8" s="248" t="str">
        <f>DK$52</f>
        <v>2025 Series</v>
      </c>
      <c r="DL8" s="248"/>
      <c r="DM8" s="248"/>
      <c r="DN8" s="32"/>
      <c r="DO8" s="248" t="str">
        <f>DO$52</f>
        <v>2026 Series</v>
      </c>
      <c r="DP8" s="248"/>
      <c r="DQ8" s="248"/>
      <c r="DR8" s="32"/>
      <c r="DS8" s="248" t="str">
        <f>DS$52</f>
        <v>2027 Series</v>
      </c>
      <c r="DT8" s="248"/>
      <c r="DU8" s="248"/>
      <c r="DV8" s="198" t="s">
        <v>188</v>
      </c>
      <c r="DW8" s="256" t="s">
        <v>173</v>
      </c>
      <c r="DX8" s="256"/>
      <c r="DY8" s="32"/>
      <c r="DZ8" s="239" t="s">
        <v>3</v>
      </c>
      <c r="EA8" s="239"/>
      <c r="EB8" s="239"/>
      <c r="EC8" s="239"/>
      <c r="EE8" s="3" t="s">
        <v>6</v>
      </c>
    </row>
    <row r="9" spans="1:135" s="33" customFormat="1" ht="14" outlineLevel="1">
      <c r="A9" s="4" t="s">
        <v>4</v>
      </c>
      <c r="B9" s="5" t="s">
        <v>169</v>
      </c>
      <c r="C9" s="5" t="s">
        <v>169</v>
      </c>
      <c r="D9" s="5" t="s">
        <v>16</v>
      </c>
      <c r="E9" s="5" t="s">
        <v>169</v>
      </c>
      <c r="F9" s="5" t="s">
        <v>16</v>
      </c>
      <c r="G9" s="5" t="s">
        <v>73</v>
      </c>
      <c r="H9" s="5" t="s">
        <v>19</v>
      </c>
      <c r="I9" s="5"/>
      <c r="J9" s="5" t="s">
        <v>19</v>
      </c>
      <c r="K9" s="5" t="s">
        <v>16</v>
      </c>
      <c r="L9" s="5" t="s">
        <v>101</v>
      </c>
      <c r="M9" s="153" t="s">
        <v>6</v>
      </c>
      <c r="N9" s="153" t="s">
        <v>11</v>
      </c>
      <c r="O9" s="153" t="s">
        <v>5</v>
      </c>
      <c r="P9" s="153"/>
      <c r="Q9" s="153" t="s">
        <v>6</v>
      </c>
      <c r="R9" s="153" t="s">
        <v>11</v>
      </c>
      <c r="S9" s="153" t="s">
        <v>5</v>
      </c>
      <c r="T9" s="153"/>
      <c r="U9" s="153" t="s">
        <v>6</v>
      </c>
      <c r="V9" s="153" t="s">
        <v>5</v>
      </c>
      <c r="W9" s="5"/>
      <c r="X9" s="130" t="s">
        <v>6</v>
      </c>
      <c r="Y9" s="130" t="s">
        <v>11</v>
      </c>
      <c r="Z9" s="130" t="s">
        <v>5</v>
      </c>
      <c r="AA9" s="5"/>
      <c r="AB9" s="154" t="s">
        <v>6</v>
      </c>
      <c r="AC9" s="154" t="s">
        <v>11</v>
      </c>
      <c r="AD9" s="154" t="s">
        <v>5</v>
      </c>
      <c r="AE9" s="5"/>
      <c r="AF9" s="148" t="s">
        <v>6</v>
      </c>
      <c r="AG9" s="148" t="s">
        <v>11</v>
      </c>
      <c r="AH9" s="148" t="s">
        <v>5</v>
      </c>
      <c r="AI9" s="148"/>
      <c r="AJ9" s="148" t="s">
        <v>6</v>
      </c>
      <c r="AK9" s="148" t="s">
        <v>12</v>
      </c>
      <c r="AL9" s="148" t="s">
        <v>5</v>
      </c>
      <c r="AM9" s="148"/>
      <c r="AN9" s="148" t="s">
        <v>6</v>
      </c>
      <c r="AO9" s="148" t="s">
        <v>12</v>
      </c>
      <c r="AP9" s="148" t="s">
        <v>5</v>
      </c>
      <c r="AQ9" s="148"/>
      <c r="AR9" s="148" t="s">
        <v>6</v>
      </c>
      <c r="AS9" s="148" t="s">
        <v>12</v>
      </c>
      <c r="AT9" s="148" t="s">
        <v>5</v>
      </c>
      <c r="AU9" s="148"/>
      <c r="AV9" s="148" t="s">
        <v>6</v>
      </c>
      <c r="AW9" s="155" t="s">
        <v>5</v>
      </c>
      <c r="AX9" s="82"/>
      <c r="AY9" s="157" t="s">
        <v>6</v>
      </c>
      <c r="AZ9" s="157" t="s">
        <v>11</v>
      </c>
      <c r="BA9" s="157" t="s">
        <v>5</v>
      </c>
      <c r="BB9" s="156"/>
      <c r="BC9" s="157" t="s">
        <v>6</v>
      </c>
      <c r="BD9" s="157" t="s">
        <v>12</v>
      </c>
      <c r="BE9" s="157" t="s">
        <v>5</v>
      </c>
      <c r="BF9" s="156"/>
      <c r="BG9" s="157" t="s">
        <v>6</v>
      </c>
      <c r="BH9" s="157" t="s">
        <v>12</v>
      </c>
      <c r="BI9" s="157" t="s">
        <v>5</v>
      </c>
      <c r="BJ9" s="156"/>
      <c r="BK9" s="157" t="s">
        <v>6</v>
      </c>
      <c r="BL9" s="157" t="s">
        <v>5</v>
      </c>
      <c r="BM9" s="5"/>
      <c r="BN9" s="152" t="s">
        <v>6</v>
      </c>
      <c r="BO9" s="152" t="s">
        <v>12</v>
      </c>
      <c r="BP9" s="152" t="s">
        <v>5</v>
      </c>
      <c r="BQ9" s="158"/>
      <c r="BR9" s="152" t="s">
        <v>6</v>
      </c>
      <c r="BS9" s="152" t="s">
        <v>12</v>
      </c>
      <c r="BT9" s="152" t="s">
        <v>5</v>
      </c>
      <c r="BU9" s="159"/>
      <c r="BV9" s="152" t="s">
        <v>6</v>
      </c>
      <c r="BW9" s="152" t="s">
        <v>5</v>
      </c>
      <c r="BX9" s="124"/>
      <c r="BY9" s="44" t="s">
        <v>6</v>
      </c>
      <c r="BZ9" s="44" t="s">
        <v>12</v>
      </c>
      <c r="CA9" s="44" t="s">
        <v>5</v>
      </c>
      <c r="CB9" s="124"/>
      <c r="CC9" s="161" t="s">
        <v>6</v>
      </c>
      <c r="CD9" s="161" t="s">
        <v>12</v>
      </c>
      <c r="CE9" s="161" t="s">
        <v>5</v>
      </c>
      <c r="CF9" s="160"/>
      <c r="CG9" s="161" t="s">
        <v>6</v>
      </c>
      <c r="CH9" s="161" t="s">
        <v>12</v>
      </c>
      <c r="CI9" s="161" t="s">
        <v>5</v>
      </c>
      <c r="CJ9" s="160"/>
      <c r="CK9" s="161" t="s">
        <v>6</v>
      </c>
      <c r="CL9" s="161" t="s">
        <v>12</v>
      </c>
      <c r="CM9" s="161" t="s">
        <v>5</v>
      </c>
      <c r="CN9" s="161"/>
      <c r="CO9" s="161" t="s">
        <v>6</v>
      </c>
      <c r="CP9" s="161" t="s">
        <v>5</v>
      </c>
      <c r="CQ9" s="32"/>
      <c r="CR9" s="149" t="s">
        <v>6</v>
      </c>
      <c r="CS9" s="149" t="s">
        <v>12</v>
      </c>
      <c r="CT9" s="149" t="s">
        <v>5</v>
      </c>
      <c r="CU9" s="163"/>
      <c r="CV9" s="149" t="s">
        <v>6</v>
      </c>
      <c r="CW9" s="149" t="s">
        <v>12</v>
      </c>
      <c r="CX9" s="149" t="s">
        <v>5</v>
      </c>
      <c r="CY9" s="149"/>
      <c r="CZ9" s="149" t="s">
        <v>6</v>
      </c>
      <c r="DA9" s="149" t="s">
        <v>5</v>
      </c>
      <c r="DB9" s="32"/>
      <c r="DC9" s="152" t="s">
        <v>6</v>
      </c>
      <c r="DD9" s="152" t="s">
        <v>12</v>
      </c>
      <c r="DE9" s="152" t="s">
        <v>5</v>
      </c>
      <c r="DF9" s="32"/>
      <c r="DG9" s="152" t="s">
        <v>6</v>
      </c>
      <c r="DH9" s="152" t="s">
        <v>12</v>
      </c>
      <c r="DI9" s="152" t="s">
        <v>5</v>
      </c>
      <c r="DJ9" s="32"/>
      <c r="DK9" s="152" t="s">
        <v>6</v>
      </c>
      <c r="DL9" s="152" t="s">
        <v>12</v>
      </c>
      <c r="DM9" s="152" t="s">
        <v>5</v>
      </c>
      <c r="DN9" s="32"/>
      <c r="DO9" s="152" t="s">
        <v>6</v>
      </c>
      <c r="DP9" s="152" t="s">
        <v>12</v>
      </c>
      <c r="DQ9" s="152" t="s">
        <v>5</v>
      </c>
      <c r="DR9" s="32"/>
      <c r="DS9" s="152" t="s">
        <v>6</v>
      </c>
      <c r="DT9" s="152" t="s">
        <v>12</v>
      </c>
      <c r="DU9" s="152" t="s">
        <v>5</v>
      </c>
      <c r="DV9" s="152" t="s">
        <v>145</v>
      </c>
      <c r="DW9" s="197" t="s">
        <v>6</v>
      </c>
      <c r="DX9" s="197" t="s">
        <v>5</v>
      </c>
      <c r="DY9" s="32"/>
      <c r="DZ9" s="125" t="s">
        <v>4</v>
      </c>
      <c r="EA9" s="125" t="s">
        <v>6</v>
      </c>
      <c r="EB9" s="125" t="s">
        <v>5</v>
      </c>
      <c r="EC9" s="125" t="s">
        <v>7</v>
      </c>
      <c r="EE9" s="5" t="s">
        <v>21</v>
      </c>
    </row>
    <row r="10" spans="1:135" s="6" customFormat="1" outlineLevel="1">
      <c r="Z10" s="87"/>
      <c r="AA10" s="87"/>
      <c r="BO10" s="77"/>
      <c r="BS10" s="77"/>
      <c r="BZ10" s="77"/>
      <c r="CD10" s="77"/>
      <c r="CH10" s="77"/>
      <c r="CL10" s="77"/>
      <c r="DD10" s="77"/>
      <c r="DH10" s="77"/>
      <c r="DJ10" s="32"/>
      <c r="DL10" s="77"/>
      <c r="DP10" s="77"/>
      <c r="DR10" s="32"/>
      <c r="DT10" s="77"/>
    </row>
    <row r="11" spans="1:135" s="33" customFormat="1" outlineLevel="1">
      <c r="A11" s="213">
        <f>Assumptions!A8</f>
        <v>2024</v>
      </c>
      <c r="B11" s="151">
        <f>Assumptions!B8</f>
        <v>5.3800000000000001E-2</v>
      </c>
      <c r="C11" s="151">
        <f>Assumptions!C8</f>
        <v>5.3800000000000001E-2</v>
      </c>
      <c r="D11" s="151">
        <f>Assumptions!D8</f>
        <v>3.5000000000000003E-2</v>
      </c>
      <c r="E11" s="151">
        <f>Assumptions!E8</f>
        <v>5.2999999999999999E-2</v>
      </c>
      <c r="F11" s="151">
        <f>Assumptions!F8</f>
        <v>0</v>
      </c>
      <c r="G11" s="151">
        <f>Assumptions!G8</f>
        <v>3.0000000000000001E-3</v>
      </c>
      <c r="H11" s="151">
        <f>Assumptions!H8</f>
        <v>8.0000000000000004E-4</v>
      </c>
      <c r="I11" s="151"/>
      <c r="J11" s="151"/>
      <c r="K11" s="151"/>
      <c r="L11" s="8"/>
      <c r="M11" s="87">
        <f>IF($A11=M$58,M$53-SUM(M10:M$11), 0)</f>
        <v>0</v>
      </c>
      <c r="N11" s="8">
        <f t="shared" ref="N11:N47" si="128">IF($A11&gt;M$58, "   ", M$54)</f>
        <v>5.7000000000000002E-2</v>
      </c>
      <c r="O11" s="87">
        <f>IF($A11&gt;M$58, 0, SUM(M11:M$47)*N11*M$63/M$64+SUM(M12:M$47)*(M$64-M$63)/M$64*N11)</f>
        <v>388455</v>
      </c>
      <c r="P11" s="35"/>
      <c r="Q11" s="87">
        <f>IF($A11=Q$58,Q$53-SUM(Q10:Q$11), 0)</f>
        <v>0</v>
      </c>
      <c r="R11" s="8">
        <f t="shared" ref="R11:R47" si="129">IF($A11&gt;Q$58, "   ", Q$54)</f>
        <v>7.7499999999999999E-2</v>
      </c>
      <c r="S11" s="87">
        <f>IF($A11&gt;Q$58, 0, SUM(Q11:Q$47)*R11*Q$63/Q$64+SUM(Q12:Q$47)*(Q$64-Q$63)/Q$64*R11)</f>
        <v>775000</v>
      </c>
      <c r="T11" s="35"/>
      <c r="U11" s="35">
        <f t="shared" ref="U11:U47" si="130">M11+Q11</f>
        <v>0</v>
      </c>
      <c r="V11" s="35">
        <f t="shared" ref="V11:V47" si="131">O11+S11</f>
        <v>1163455</v>
      </c>
      <c r="W11" s="35"/>
      <c r="X11" s="87">
        <f>IF($A11=X$58,X$53-SUM(X10:X$11), 0)</f>
        <v>0</v>
      </c>
      <c r="Y11" s="8">
        <f t="shared" ref="Y11:Y47" si="132">IF($A11&gt;X$58, "   ", X$54)</f>
        <v>5.5E-2</v>
      </c>
      <c r="Z11" s="87">
        <f>IF($A11&gt;X$58, 0, SUM(X11:X$47)*Y11*X$63/X$64+SUM(X12:X$47)*(X$64-X$63)/X$64*Y11)</f>
        <v>12074425</v>
      </c>
      <c r="AA11" s="87"/>
      <c r="AB11" s="87">
        <f>IF($A11=AB$58,AB$53-SUM(#REF!), 0)</f>
        <v>0</v>
      </c>
      <c r="AC11" s="8">
        <f t="shared" ref="AC11:AC47" si="133">IF($A11&gt;AB$58, "   ", AB$54)</f>
        <v>5.7500000000000002E-2</v>
      </c>
      <c r="AD11" s="87">
        <f>IF($A11&gt;AB$58, 0, SUM(AB11:AB$47)*AC11*AB$63/AB$64+SUM(AB12:AB$47)*(AB$64-AB$63)/AB$64*AC11)</f>
        <v>7187500</v>
      </c>
      <c r="AE11" s="35"/>
      <c r="AF11" s="87">
        <f>IF($A11=AF$58,AF$53-SUM(#REF!), 0)</f>
        <v>0</v>
      </c>
      <c r="AG11" s="8">
        <f t="shared" ref="AG11:AG47" si="134">IF($A11&gt;AF$58, "   ", AF$54)</f>
        <v>5.5E-2</v>
      </c>
      <c r="AH11" s="87">
        <f>IF($A11&gt;AF$58, 0, SUM(AF11:AF$47)*AG11*AF$63/AF$64+SUM(AF12:AF$47)*(AF$64-AF$63)/AF$64*AG11)</f>
        <v>550000</v>
      </c>
      <c r="AI11" s="35"/>
      <c r="AJ11" s="87">
        <f>IF($A11=AJ$58,AJ$53-SUM(#REF!), 0)</f>
        <v>0</v>
      </c>
      <c r="AK11" s="77">
        <f t="shared" ref="AK11:AK47" si="135">IF(OR($A11&lt;AJ$51, $A11&gt;AJ$58), "   ", $D11+$F11+$G11+$H11)</f>
        <v>3.8800000000000008E-2</v>
      </c>
      <c r="AL11" s="87">
        <f>IF($A11&gt;AJ$58, 0, SUM(AJ11:AJ$47)*AK11*AJ$63/AJ$64+SUM(AJ12:AJ$47)*(AJ$64-AJ$63)/AJ$64*AK11)</f>
        <v>1940000.0000000005</v>
      </c>
      <c r="AM11" s="35"/>
      <c r="AN11" s="87">
        <f>IF($A11='Debt Service'!AN$58, 'Debt Service'!AN$53-SUM(#REF!), 0)</f>
        <v>0</v>
      </c>
      <c r="AO11" s="77" t="str">
        <f t="shared" ref="AO11:AO47" si="136">IF($A11&gt;AN$58, "   ", IF(AN$54="VRDB", $E11+$G11+$H11, IF(AN$54="1M LIBOR", $B11*AN$55+AN$56, IF(AN$54="3M LIBOR", $C11*AN$55+AN$56, IF(AN$54="R-FLOATs", $E11+$J11+$K11, 0)))))</f>
        <v xml:space="preserve">   </v>
      </c>
      <c r="AP11" s="87">
        <f>IF($A11&gt;'Debt Service'!AN$58, 0, SUM(AN11:AN$47)*AO11*AN$63/AN$64+SUM(AN12:AN$47)*(AN$64-AN$63)/AN$64*AO11)</f>
        <v>0</v>
      </c>
      <c r="AQ11" s="35"/>
      <c r="AR11" s="87">
        <f>IF($A11=AR$58,AR$53-SUM(#REF!), 0)</f>
        <v>0</v>
      </c>
      <c r="AS11" s="77">
        <f t="shared" ref="AS11:AS47" si="137">IF(OR($A11&lt;AR$51, $A11&gt;AR$58), "   ", $C11*AR$55+AR$56)</f>
        <v>4.3546000000000001E-2</v>
      </c>
      <c r="AT11" s="87">
        <f>IF($A11&gt;AR$58, 0, SUM(AR11:AR$47)*AS11*AR$63/AR$64+SUM(AR12:AR$47)*(AR$64-AR$63)/AR$64*AS11)</f>
        <v>2177300</v>
      </c>
      <c r="AV11" s="35">
        <f t="shared" ref="AV11:AV47" si="138">AF11+AJ11+AN11+AR11</f>
        <v>0</v>
      </c>
      <c r="AW11" s="35">
        <f t="shared" ref="AW11:AW47" si="139">AH11+AL11+AP11+AT11</f>
        <v>4667300</v>
      </c>
      <c r="AX11" s="35"/>
      <c r="AY11" s="87">
        <f>IF($A11=AY$58,AY$53-SUM(#REF!), 0)</f>
        <v>0</v>
      </c>
      <c r="AZ11" s="8">
        <f t="shared" ref="AZ11:AZ47" si="140">IF($A11&gt;AY$58, "   ", AY$54)</f>
        <v>0.05</v>
      </c>
      <c r="BA11" s="87">
        <f>IF($A11&gt;AY$58, 0, SUM(AY11:AY$47)*AZ11*AY$63/AY$64+SUM(AY12:AY$47)*(AY$64-AY$63)/AY$64*AZ11)</f>
        <v>500000</v>
      </c>
      <c r="BB11" s="61"/>
      <c r="BC11" s="87">
        <f>IF($A11=BC$58,BC$53-SUM(BC10:BC$11), 0)</f>
        <v>0</v>
      </c>
      <c r="BD11" s="77">
        <f t="shared" ref="BD11:BD47" si="141">IF($A11&gt;BC$58, "   ",$B11*BC$55+BC$56 )</f>
        <v>4.3646000000000004E-2</v>
      </c>
      <c r="BE11" s="87">
        <f>IF($A11&gt;BC$58, 0, SUM(BC11:BC$47)*BD11*BC$63/BC$64+SUM(BC12:BC$47)*(BC$64-BC$63)/BC$64*BD11)</f>
        <v>1309380.0000000002</v>
      </c>
      <c r="BF11" s="61"/>
      <c r="BG11" s="87">
        <f>IF($A11=BG$58,BG$53-SUM(BG10:BG$11), 0)</f>
        <v>0</v>
      </c>
      <c r="BH11" s="77">
        <f t="shared" ref="BH11:BH47" si="142">IF($A11&gt;BG$58, "   ",$B11*BG$55+BG$56 )</f>
        <v>4.4846000000000004E-2</v>
      </c>
      <c r="BI11" s="87">
        <f>IF($A11&gt;BG$58, 0, SUM(BG11:BG$47)*BH11*BG$63/BG$64+SUM(BG12:BG$47)*(BG$64-BG$63)/BG$64*BH11)</f>
        <v>3363450.0000000005</v>
      </c>
      <c r="BJ11" s="61"/>
      <c r="BK11" s="35">
        <f>AY11+BC11+BG11</f>
        <v>0</v>
      </c>
      <c r="BL11" s="35">
        <f>BA11+BE11+BI11</f>
        <v>5172830.0000000009</v>
      </c>
      <c r="BM11" s="8"/>
      <c r="BN11" s="87">
        <f>IF($A11=BN$58,BN$53-SUM(BN12:BN47), 0)</f>
        <v>50000000</v>
      </c>
      <c r="BO11" s="8">
        <f t="shared" ref="BO11:BO47" si="143">IF($A11&gt;BN$58, "   ", BN$54)</f>
        <v>0.05</v>
      </c>
      <c r="BP11" s="87">
        <f>IF($A11&gt;BN$58, 0, SUM(BN11:BN$47)*BO11*BN$63/BN$64+SUM(BN12:BN$47)*(BN$64-BN$63)/BN$64*BO11)</f>
        <v>2500000</v>
      </c>
      <c r="BQ11" s="77"/>
      <c r="BR11" s="87">
        <f>IF($A11=BR$58,BR$53-SUM(#REF!), 0)</f>
        <v>0</v>
      </c>
      <c r="BS11" s="77">
        <f t="shared" ref="BS11:BS47" si="144">IF(OR($A11&lt;BR$51, $A11&gt;BR$58), "   ", $D11+$F11+$G11+$H11)</f>
        <v>3.8800000000000008E-2</v>
      </c>
      <c r="BT11" s="87">
        <f>IF($A11&gt;BR$58, 0, SUM(BR11:BR$47)*BS11*BR$63/BR$64+SUM(BR12:BR$47)*(BR$64-BR$63)/BR$64*BS11)</f>
        <v>2910000.0000000005</v>
      </c>
      <c r="BU11" s="87"/>
      <c r="BV11" s="35">
        <f>BN11+BR11</f>
        <v>50000000</v>
      </c>
      <c r="BW11" s="35">
        <f>BP11+BT11</f>
        <v>5410000</v>
      </c>
      <c r="BX11" s="87"/>
      <c r="BY11" s="87">
        <f>IF($A11='Debt Service'!BY$58, 'Debt Service'!BY$53-SUM(#REF!), 0)</f>
        <v>0</v>
      </c>
      <c r="BZ11" s="8">
        <f>IF($A11&gt;'Debt Service'!BY$58, "   ",'Debt Service'!BY$54)</f>
        <v>0.02</v>
      </c>
      <c r="CA11" s="87">
        <f t="shared" ref="CA11:CA18" si="145">IF(BY11&gt;0, (BY11*BZ11)+CA12, CA12)</f>
        <v>900000</v>
      </c>
      <c r="CB11" s="87"/>
      <c r="CC11" s="87"/>
      <c r="CD11" s="77">
        <f t="shared" ref="CD11:CD47" si="146">IF($A11&gt;CC$58, "   ", CC$54)</f>
        <v>0.05</v>
      </c>
      <c r="CE11" s="87">
        <f>IF(OR($A11&gt;'Debt Service'!CC$58, $A11&lt;CC$51), 0, SUM(CC11:CC$47)*CD11*CC$63/CC$64+SUM(CC12:CC$47)*(CC$64-CC$63)/CC$64*CD11)</f>
        <v>250000</v>
      </c>
      <c r="CF11" s="87"/>
      <c r="CG11" s="87">
        <f>IF($A11=CG$58,CG$53-SUM(#REF!), 0)</f>
        <v>0</v>
      </c>
      <c r="CH11" s="77">
        <f t="shared" ref="CH11:CH47" si="147">IF(OR($A11&lt;CG$51, $A11&gt;CG$58), "   ", $D11*CG$55+CG$56)</f>
        <v>3.9000000000000007E-2</v>
      </c>
      <c r="CI11" s="87">
        <f>IF($A11&gt;CG$58, 0, SUM(CG11:CG$47)*CH11*CG$63/CG$64+SUM(CG12:CG$47)*(CG$64-CG$63)/CG$64*CH11)</f>
        <v>2925000.0000000005</v>
      </c>
      <c r="CJ11" s="87"/>
      <c r="CK11" s="87">
        <f>IF($A11=CK$58,CK$53-SUM(#REF!), 0)</f>
        <v>0</v>
      </c>
      <c r="CL11" s="77">
        <f t="shared" ref="CL11:CL47" si="148">IF(OR($A11&lt;CK$51, $A11&gt;CK$58), "   ", $E11*CK$55+CK$56)</f>
        <v>4.0410000000000001E-2</v>
      </c>
      <c r="CM11" s="87">
        <f>IF($A11&gt;CK$58, 0, SUM(CK11:CK$47)*CL11*CK$63/CK$64+SUM(CK12:CK$47)*(CK$64-CK$63)/CK$64*CL11)</f>
        <v>3030750</v>
      </c>
      <c r="CN11" s="87"/>
      <c r="CO11" s="162">
        <f t="shared" ref="CO11:CO47" si="149">CC11+CG11+CK11</f>
        <v>0</v>
      </c>
      <c r="CP11" s="87">
        <f t="shared" ref="CP11:CP47" si="150">CE11+CI11+CM11</f>
        <v>6205750</v>
      </c>
      <c r="CQ11" s="8"/>
      <c r="CR11" s="87"/>
      <c r="CS11" s="77">
        <f t="shared" ref="CS11:CS47" si="151">IF($A11&gt;CR$58, "   ", CR$54)</f>
        <v>4.0909090909090909E-2</v>
      </c>
      <c r="CT11" s="87">
        <f>IF($A11&gt;'Debt Service'!CR$58, 0, SUM(CR11:CR$47)*CS11*CR$63/CR$64+SUM(CR12:CR$47)*(CR$64-CR$63)/CR$64*CS11)</f>
        <v>900000</v>
      </c>
      <c r="CU11" s="8"/>
      <c r="CV11" s="87">
        <f>IF($A11=CV$58,CV$53-SUM(#REF!), 0)</f>
        <v>0</v>
      </c>
      <c r="CW11" s="77">
        <f t="shared" ref="CW11:CW47" si="152">IF(OR($A11&lt;CV$51, $A11&gt;CV$58), "   ", $D11+$F11+$G11+$H11)</f>
        <v>3.8800000000000008E-2</v>
      </c>
      <c r="CX11" s="87">
        <f>IF($A11&gt;CV$58, 0, SUM(CV11:CV$47)*CW11*CV$63/CV$64+SUM(CV12:CV$47)*(CV$64-CV$63)/CV$64*CW11)</f>
        <v>2910000.0000000005</v>
      </c>
      <c r="CY11" s="8"/>
      <c r="CZ11" s="165">
        <f t="shared" ref="CZ11:CZ47" si="153">CR11+CV11</f>
        <v>0</v>
      </c>
      <c r="DA11" s="165">
        <f t="shared" ref="DA11:DA47" si="154">CT11+CX11</f>
        <v>3810000.0000000005</v>
      </c>
      <c r="DB11" s="165"/>
      <c r="DC11" s="87">
        <f t="shared" ref="DC11:DC47" si="155">IF(OR($A11&lt;DC$58, $A11&gt;DC$60), 0, VLOOKUP($A11, DC$58:DD$60, 2, FALSE))</f>
        <v>0</v>
      </c>
      <c r="DD11" s="77" t="str">
        <f t="shared" ref="DD11:DD47" si="156">IF(OR($A11&lt;DC$58, $A11&gt;DC$60), "---", VLOOKUP($A11, DC$58:DE$60, 3, FALSE))</f>
        <v>---</v>
      </c>
      <c r="DE11" s="87">
        <f t="shared" ref="DE11:DE22" si="157">IF($A11&gt;DC$60, 0, IF($A11&lt;DC$58, DE12, ROUND(((DC11*DD11)+DE12)/2+DE12/2, 2)))</f>
        <v>2820600</v>
      </c>
      <c r="DF11" s="165"/>
      <c r="DG11" s="87">
        <f>IF($A11=DG$58,DG$53-SUM(#REF!), 0)</f>
        <v>0</v>
      </c>
      <c r="DH11" s="77" t="str">
        <f t="shared" ref="DH11:DH47" si="158">IF(OR($A11&lt;DG$51, $A11&gt;DG$58), "   ", $D11+$F11+$G11+$H11)</f>
        <v xml:space="preserve">   </v>
      </c>
      <c r="DI11" s="87">
        <f>IF(OR($A11&gt;DG$58,$A11&lt;DG$51), 0, SUM(DG11:DG$47)*DH11*DG$63/DG$64+SUM(DG12:DG$47)*(DG$64-DG$63)/DG$64*DH11)</f>
        <v>0</v>
      </c>
      <c r="DJ11" s="87"/>
      <c r="DK11" s="87">
        <f>IF($A11=DK$58,DK$53-SUM(#REF!), 0)</f>
        <v>0</v>
      </c>
      <c r="DL11" s="77" t="str">
        <f t="shared" ref="DL11:DL47" si="159">IF(OR($A11&lt;DK$51, $A11&gt;DK$58), "   ", $D11+$F11+$G11+$H11)</f>
        <v xml:space="preserve">   </v>
      </c>
      <c r="DM11" s="87">
        <f>IF(OR($A11&gt;DK$58,$A11&lt;DK$51), 0, SUM(DK11:DK$47)*DL11*DK$63/DK$64+SUM(DK12:DK$47)*(DK$64-DK$63)/DK$64*DL11)</f>
        <v>0</v>
      </c>
      <c r="DN11" s="87"/>
      <c r="DO11" s="87">
        <f>IF($A11=DO$58,DO$53-SUM(#REF!), 0)</f>
        <v>0</v>
      </c>
      <c r="DP11" s="77" t="str">
        <f t="shared" ref="DP11:DP47" si="160">IF(OR($A11&lt;DO$51, $A11&gt;DO$58), "   ", $D11+$F11+$G11+$H11)</f>
        <v xml:space="preserve">   </v>
      </c>
      <c r="DQ11" s="87">
        <f>IF(OR($A11&gt;DO$58,$A11&lt;DO$51), 0, SUM(DO11:DO$47)*DP11*DO$63/DO$64+SUM(DO12:DO$47)*(DO$64-DO$63)/DO$64*DP11)</f>
        <v>0</v>
      </c>
      <c r="DR11" s="165"/>
      <c r="DS11" s="87">
        <f>IF($A11=DS$58,DS$53-SUM(#REF!), 0)</f>
        <v>0</v>
      </c>
      <c r="DT11" s="77" t="str">
        <f t="shared" ref="DT11:DT47" si="161">IF(OR($A11&lt;DS$51, $A11&gt;DS$58), "   ", $D11+$F11+$G11+$H11)</f>
        <v xml:space="preserve">   </v>
      </c>
      <c r="DU11" s="87">
        <f>IF(OR($A11&gt;DS$58,$A11&lt;DS$51), 0, SUM(DS11:DS$47)*DT11*DS$63/DS$64+SUM(DS12:DS$47)*(DS$64-DS$63)/DS$64*DT11)</f>
        <v>0</v>
      </c>
      <c r="DV11" s="165"/>
      <c r="DW11" s="165">
        <f>AV11+BK11+BV11+BY11+CO11+CZ11+DC11+DG11+DK11+DO11+DS11</f>
        <v>50000000</v>
      </c>
      <c r="DX11" s="165">
        <f>AW11+BL11+BW11+CA11+CP11+DA11+DE11+DI11+DM11+DQ11+DU11</f>
        <v>28986480</v>
      </c>
      <c r="DY11" s="8"/>
      <c r="DZ11" s="53">
        <f t="shared" ref="DZ11:DZ47" si="162">A11</f>
        <v>2024</v>
      </c>
      <c r="EA11" s="35">
        <f t="shared" ref="EA11:EA47" si="163">U11+X11+AB11+DW11</f>
        <v>50000000</v>
      </c>
      <c r="EB11" s="35">
        <f t="shared" ref="EB11:EB47" si="164">V11+Z11+AD11+DX11</f>
        <v>49411860</v>
      </c>
      <c r="EC11" s="35">
        <f t="shared" ref="EC11:EC26" si="165">SUM(EA11:EB11)</f>
        <v>99411860</v>
      </c>
      <c r="ED11" s="135">
        <v>1</v>
      </c>
      <c r="EE11" s="61">
        <f>EA$53-SUM(EA$10:EA11)</f>
        <v>1099380000</v>
      </c>
    </row>
    <row r="12" spans="1:135" s="33" customFormat="1" outlineLevel="1">
      <c r="A12" s="7">
        <f t="shared" ref="A12:A47" si="166">A11+1</f>
        <v>2025</v>
      </c>
      <c r="B12" s="151">
        <f>Assumptions!B9</f>
        <v>5.3800000000000001E-2</v>
      </c>
      <c r="C12" s="151">
        <f>Assumptions!C9</f>
        <v>5.3800000000000001E-2</v>
      </c>
      <c r="D12" s="151">
        <f>Assumptions!D9</f>
        <v>3.5000000000000003E-2</v>
      </c>
      <c r="E12" s="151">
        <f>Assumptions!E9</f>
        <v>5.2999999999999999E-2</v>
      </c>
      <c r="F12" s="151">
        <f>Assumptions!F9</f>
        <v>0</v>
      </c>
      <c r="G12" s="151">
        <f>Assumptions!G9</f>
        <v>3.0000000000000001E-3</v>
      </c>
      <c r="H12" s="151">
        <f>Assumptions!H9</f>
        <v>8.0000000000000004E-4</v>
      </c>
      <c r="I12" s="151"/>
      <c r="J12" s="151"/>
      <c r="K12" s="151"/>
      <c r="L12" s="8"/>
      <c r="M12" s="87">
        <f>IF($A12=M$58,M$53-SUM(M$11:M11), 0)</f>
        <v>0</v>
      </c>
      <c r="N12" s="8">
        <f t="shared" si="128"/>
        <v>5.7000000000000002E-2</v>
      </c>
      <c r="O12" s="87">
        <f>IF($A12&gt;M$58, 0, SUM(M12:M$47)*N12*M$63/M$64+SUM(M13:M$47)*(M$64-M$63)/M$64*N12)</f>
        <v>388455</v>
      </c>
      <c r="P12" s="35"/>
      <c r="Q12" s="87">
        <f>IF($A12=Q$58,Q$53-SUM(Q$11:Q11), 0)</f>
        <v>0</v>
      </c>
      <c r="R12" s="8">
        <f t="shared" si="129"/>
        <v>7.7499999999999999E-2</v>
      </c>
      <c r="S12" s="87">
        <f>IF($A12&gt;Q$58, 0, SUM(Q12:Q$47)*R12*Q$63/Q$64+SUM(Q13:Q$47)*(Q$64-Q$63)/Q$64*R12)</f>
        <v>775000</v>
      </c>
      <c r="T12" s="35"/>
      <c r="U12" s="35">
        <f t="shared" si="130"/>
        <v>0</v>
      </c>
      <c r="V12" s="35">
        <f t="shared" si="131"/>
        <v>1163455</v>
      </c>
      <c r="W12" s="35"/>
      <c r="X12" s="87">
        <f>IF($A12=X$58,X$53-SUM(X$11:X11), 0)</f>
        <v>0</v>
      </c>
      <c r="Y12" s="8">
        <f t="shared" si="132"/>
        <v>5.5E-2</v>
      </c>
      <c r="Z12" s="87">
        <f>IF($A12&gt;X$58, 0, SUM(X12:X$47)*Y12*X$63/X$64+SUM(X13:X$47)*(X$64-X$63)/X$64*Y12)</f>
        <v>12074425</v>
      </c>
      <c r="AA12" s="87"/>
      <c r="AB12" s="87">
        <f>IF($A12=AB$58,AB$53-SUM(AB$11:AB11), 0)</f>
        <v>0</v>
      </c>
      <c r="AC12" s="8">
        <f t="shared" si="133"/>
        <v>5.7500000000000002E-2</v>
      </c>
      <c r="AD12" s="87">
        <f>IF($A12&gt;AB$58, 0, SUM(AB12:AB$47)*AC12*AB$63/AB$64+SUM(AB13:AB$47)*(AB$64-AB$63)/AB$64*AC12)</f>
        <v>7187500</v>
      </c>
      <c r="AE12" s="35"/>
      <c r="AF12" s="87">
        <f>IF($A12=AF$58,AF$53-SUM(AF$11:AF11), 0)</f>
        <v>0</v>
      </c>
      <c r="AG12" s="8">
        <f t="shared" si="134"/>
        <v>5.5E-2</v>
      </c>
      <c r="AH12" s="87">
        <f>IF($A12&gt;AF$58, 0, SUM(AF12:AF$47)*AG12*AF$63/AF$64+SUM(AF13:AF$47)*(AF$64-AF$63)/AF$64*AG12)</f>
        <v>550000</v>
      </c>
      <c r="AI12" s="35"/>
      <c r="AJ12" s="87">
        <f>IF($A12=AJ$58,AJ$53-SUM(AJ$11:AJ11), 0)</f>
        <v>0</v>
      </c>
      <c r="AK12" s="77">
        <f t="shared" si="135"/>
        <v>3.8800000000000008E-2</v>
      </c>
      <c r="AL12" s="87">
        <f>IF($A12&gt;AJ$58, 0, SUM(AJ12:AJ$47)*AK12*AJ$63/AJ$64+SUM(AJ13:AJ$47)*(AJ$64-AJ$63)/AJ$64*AK12)</f>
        <v>1940000.0000000005</v>
      </c>
      <c r="AM12" s="35"/>
      <c r="AN12" s="87">
        <f>IF($A12='Debt Service'!AN$58, 'Debt Service'!AN$53-SUM(AN$11:AN11), 0)</f>
        <v>0</v>
      </c>
      <c r="AO12" s="77" t="str">
        <f t="shared" si="136"/>
        <v xml:space="preserve">   </v>
      </c>
      <c r="AP12" s="87">
        <f>IF($A12&gt;'Debt Service'!AN$58, 0, SUM(AN12:AN$47)*AO12*AN$63/AN$64+SUM(AN13:AN$47)*(AN$64-AN$63)/AN$64*AO12)</f>
        <v>0</v>
      </c>
      <c r="AQ12" s="35"/>
      <c r="AR12" s="87">
        <f>IF($A12=AR$58,AR$53-SUM(AR$11:AR11), 0)</f>
        <v>0</v>
      </c>
      <c r="AS12" s="77">
        <f t="shared" si="137"/>
        <v>4.3546000000000001E-2</v>
      </c>
      <c r="AT12" s="87">
        <f>IF($A12&gt;AR$58, 0, SUM(AR12:AR$47)*AS12*AR$63/AR$64+SUM(AR13:AR$47)*(AR$64-AR$63)/AR$64*AS12)</f>
        <v>2177300</v>
      </c>
      <c r="AV12" s="35">
        <f t="shared" si="138"/>
        <v>0</v>
      </c>
      <c r="AW12" s="35">
        <f t="shared" si="139"/>
        <v>4667300</v>
      </c>
      <c r="AX12" s="35"/>
      <c r="AY12" s="87">
        <f>IF($A12=AY$58,AY$53-SUM(AY$11:AY11), 0)</f>
        <v>0</v>
      </c>
      <c r="AZ12" s="8">
        <f t="shared" si="140"/>
        <v>0.05</v>
      </c>
      <c r="BA12" s="87">
        <f>IF($A12&gt;AY$58, 0, SUM(AY12:AY$47)*AZ12*AY$63/AY$64+SUM(AY13:AY$47)*(AY$64-AY$63)/AY$64*AZ12)</f>
        <v>500000</v>
      </c>
      <c r="BB12" s="61"/>
      <c r="BC12" s="87">
        <f>IF($A12=BC$58,BC$53-SUM(BC$11:BC11), 0)</f>
        <v>0</v>
      </c>
      <c r="BD12" s="77">
        <f t="shared" si="141"/>
        <v>4.3646000000000004E-2</v>
      </c>
      <c r="BE12" s="87">
        <f>IF($A12&gt;BC$58, 0, SUM(BC12:BC$47)*BD12*BC$63/BC$64+SUM(BC13:BC$47)*(BC$64-BC$63)/BC$64*BD12)</f>
        <v>1309380.0000000002</v>
      </c>
      <c r="BF12" s="61"/>
      <c r="BG12" s="87">
        <f>IF($A12=BG$58,BG$53-SUM(BG$11:BG11), 0)</f>
        <v>0</v>
      </c>
      <c r="BH12" s="77">
        <f t="shared" si="142"/>
        <v>4.4846000000000004E-2</v>
      </c>
      <c r="BI12" s="87">
        <f>IF($A12&gt;BG$58, 0, SUM(BG12:BG$47)*BH12*BG$63/BG$64+SUM(BG13:BG$47)*(BG$64-BG$63)/BG$64*BH12)</f>
        <v>3363450.0000000005</v>
      </c>
      <c r="BJ12" s="61"/>
      <c r="BK12" s="35">
        <f t="shared" ref="BK12:BK47" si="167">AY12+BC12+BG12</f>
        <v>0</v>
      </c>
      <c r="BL12" s="35">
        <f t="shared" ref="BL12:BL47" si="168">BA12+BE12+BI12</f>
        <v>5172830.0000000009</v>
      </c>
      <c r="BM12" s="8"/>
      <c r="BN12" s="87">
        <f>IF($A12=BN$58,BN$53-SUM(BN$11:BN11), 0)</f>
        <v>0</v>
      </c>
      <c r="BO12" s="8" t="str">
        <f t="shared" si="143"/>
        <v xml:space="preserve">   </v>
      </c>
      <c r="BP12" s="87">
        <f>IF($A12&gt;BN$58, 0, SUM(BN12:BN$47)*BO12*BN$63/BN$64+SUM(BN13:BN$47)*(BN$64-BN$63)/BN$64*BO12)</f>
        <v>0</v>
      </c>
      <c r="BQ12" s="77"/>
      <c r="BR12" s="87">
        <f>IF($A12=BR$58,BR$53-SUM(BR$11:BR11), 0)</f>
        <v>0</v>
      </c>
      <c r="BS12" s="77">
        <f t="shared" si="144"/>
        <v>3.8800000000000008E-2</v>
      </c>
      <c r="BT12" s="87">
        <f>IF($A12&gt;BR$58, 0, SUM(BR12:BR$47)*BS12*BR$63/BR$64+SUM(BR13:BR$47)*(BR$64-BR$63)/BR$64*BS12)</f>
        <v>2910000.0000000005</v>
      </c>
      <c r="BU12" s="87"/>
      <c r="BV12" s="35">
        <f t="shared" ref="BV12:BV47" si="169">BN12+BR12</f>
        <v>0</v>
      </c>
      <c r="BW12" s="35">
        <f t="shared" ref="BW12:BW47" si="170">BP12+BT12</f>
        <v>2910000.0000000005</v>
      </c>
      <c r="BX12" s="87"/>
      <c r="BY12" s="87">
        <f>IF($A12='Debt Service'!BY$58, 'Debt Service'!BY$53-SUM(BY$11:BY11), 0)</f>
        <v>0</v>
      </c>
      <c r="BZ12" s="8">
        <f>IF($A12&gt;'Debt Service'!BY$58, "   ",'Debt Service'!BY$54)</f>
        <v>0.02</v>
      </c>
      <c r="CA12" s="87">
        <f t="shared" si="145"/>
        <v>900000</v>
      </c>
      <c r="CB12" s="87"/>
      <c r="CC12" s="87"/>
      <c r="CD12" s="77">
        <f t="shared" si="146"/>
        <v>0.05</v>
      </c>
      <c r="CE12" s="87">
        <f>IF(OR($A12&gt;'Debt Service'!CC$58, $A12&lt;CC$51), 0, SUM(CC12:CC$47)*CD12*CC$63/CC$64+SUM(CC13:CC$47)*(CC$64-CC$63)/CC$64*CD12)</f>
        <v>250000</v>
      </c>
      <c r="CF12" s="87"/>
      <c r="CG12" s="87">
        <f>IF($A12=CG$58,CG$53-SUM(CG$11:CG11), 0)</f>
        <v>0</v>
      </c>
      <c r="CH12" s="77">
        <f t="shared" si="147"/>
        <v>3.9000000000000007E-2</v>
      </c>
      <c r="CI12" s="87">
        <f>IF($A12&gt;CG$58, 0, SUM(CG12:CG$47)*CH12*CG$63/CG$64+SUM(CG13:CG$47)*(CG$64-CG$63)/CG$64*CH12)</f>
        <v>2925000.0000000005</v>
      </c>
      <c r="CJ12" s="87"/>
      <c r="CK12" s="87">
        <f>IF($A12=CK$58,CK$53-SUM(CK$11:CK11), 0)</f>
        <v>0</v>
      </c>
      <c r="CL12" s="77">
        <f t="shared" si="148"/>
        <v>4.0410000000000001E-2</v>
      </c>
      <c r="CM12" s="87">
        <f>IF($A12&gt;CK$58, 0, SUM(CK12:CK$47)*CL12*CK$63/CK$64+SUM(CK13:CK$47)*(CK$64-CK$63)/CK$64*CL12)</f>
        <v>3030750</v>
      </c>
      <c r="CN12" s="87"/>
      <c r="CO12" s="162">
        <f t="shared" si="149"/>
        <v>0</v>
      </c>
      <c r="CP12" s="87">
        <f t="shared" si="150"/>
        <v>6205750</v>
      </c>
      <c r="CQ12" s="8"/>
      <c r="CR12" s="87"/>
      <c r="CS12" s="77">
        <f t="shared" si="151"/>
        <v>4.0909090909090909E-2</v>
      </c>
      <c r="CT12" s="87">
        <f>IF($A12&gt;'Debt Service'!CR$58, 0, SUM(CR12:CR$47)*CS12*CR$63/CR$64+SUM(CR13:CR$47)*(CR$64-CR$63)/CR$64*CS12)</f>
        <v>900000</v>
      </c>
      <c r="CU12" s="8"/>
      <c r="CV12" s="87">
        <f>IF($A12=CV$58,CV$53-SUM(CV$11:CV11), 0)</f>
        <v>0</v>
      </c>
      <c r="CW12" s="77">
        <f t="shared" si="152"/>
        <v>3.8800000000000008E-2</v>
      </c>
      <c r="CX12" s="87">
        <f>IF($A12&gt;CV$58, 0, SUM(CV12:CV$47)*CW12*CV$63/CV$64+SUM(CV13:CV$47)*(CV$64-CV$63)/CV$64*CW12)</f>
        <v>2910000.0000000005</v>
      </c>
      <c r="CY12" s="8"/>
      <c r="CZ12" s="165">
        <f t="shared" si="153"/>
        <v>0</v>
      </c>
      <c r="DA12" s="165">
        <f t="shared" si="154"/>
        <v>3810000.0000000005</v>
      </c>
      <c r="DB12" s="165"/>
      <c r="DC12" s="87">
        <f t="shared" si="155"/>
        <v>0</v>
      </c>
      <c r="DD12" s="77" t="str">
        <f t="shared" si="156"/>
        <v>---</v>
      </c>
      <c r="DE12" s="87">
        <f t="shared" si="157"/>
        <v>2820600</v>
      </c>
      <c r="DF12" s="165"/>
      <c r="DG12" s="87">
        <f>IF($A12=DG$58,DG$53-SUM(DG$11:DG11), 0)</f>
        <v>0</v>
      </c>
      <c r="DH12" s="77" t="str">
        <f t="shared" si="158"/>
        <v xml:space="preserve">   </v>
      </c>
      <c r="DI12" s="87">
        <f>IF(OR($A12&gt;DG$58,$A12&lt;DG$51), 0, SUM(DG12:DG$47)*DH12*DG$63/DG$64+SUM(DG13:DG$47)*(DG$64-DG$63)/DG$64*DH12)</f>
        <v>0</v>
      </c>
      <c r="DJ12" s="87"/>
      <c r="DK12" s="87">
        <f>IF($A12=DK$58,DK$53-SUM(DK$11:DK11), 0)</f>
        <v>0</v>
      </c>
      <c r="DL12" s="77" t="str">
        <f t="shared" si="159"/>
        <v xml:space="preserve">   </v>
      </c>
      <c r="DM12" s="87">
        <f>IF(OR($A12&gt;DK$58,$A12&lt;DK$51), 0, SUM(DK12:DK$47)*DL12*DK$63/DK$64+SUM(DK13:DK$47)*(DK$64-DK$63)/DK$64*DL12)</f>
        <v>0</v>
      </c>
      <c r="DN12" s="87"/>
      <c r="DO12" s="87">
        <f>IF($A12=DO$58,DO$53-SUM(DO$11:DO11), 0)</f>
        <v>0</v>
      </c>
      <c r="DP12" s="77" t="str">
        <f t="shared" si="160"/>
        <v xml:space="preserve">   </v>
      </c>
      <c r="DQ12" s="87">
        <f>IF(OR($A12&gt;DO$58,$A12&lt;DO$51), 0, SUM(DO12:DO$47)*DP12*DO$63/DO$64+SUM(DO13:DO$47)*(DO$64-DO$63)/DO$64*DP12)</f>
        <v>0</v>
      </c>
      <c r="DR12" s="165"/>
      <c r="DS12" s="87">
        <f>IF($A12=DS$58,DS$53-SUM(DS$11:DS11), 0)</f>
        <v>0</v>
      </c>
      <c r="DT12" s="77" t="str">
        <f t="shared" si="161"/>
        <v xml:space="preserve">   </v>
      </c>
      <c r="DU12" s="87">
        <f>IF(OR($A12&gt;DS$58,$A12&lt;DS$51), 0, SUM(DS12:DS$47)*DT12*DS$63/DS$64+SUM(DS13:DS$47)*(DS$64-DS$63)/DS$64*DT12)</f>
        <v>0</v>
      </c>
      <c r="DV12" s="165"/>
      <c r="DW12" s="165">
        <f t="shared" ref="DW12:DW47" si="171">AV12+BK12+BV12+BY12+CO12+CZ12+DC12+DG12+DK12+DO12+DS12</f>
        <v>0</v>
      </c>
      <c r="DX12" s="165">
        <f t="shared" ref="DX12:DX47" si="172">AW12+BL12+BW12+CA12+CP12+DA12+DE12+DI12+DM12+DQ12+DU12</f>
        <v>26486480</v>
      </c>
      <c r="DY12" s="8"/>
      <c r="DZ12" s="53">
        <f t="shared" si="162"/>
        <v>2025</v>
      </c>
      <c r="EA12" s="35">
        <f t="shared" si="163"/>
        <v>0</v>
      </c>
      <c r="EB12" s="35">
        <f t="shared" si="164"/>
        <v>46911860</v>
      </c>
      <c r="EC12" s="35">
        <f t="shared" si="165"/>
        <v>46911860</v>
      </c>
      <c r="ED12" s="171">
        <f t="shared" ref="ED12:ED47" si="173">ED11+1</f>
        <v>2</v>
      </c>
      <c r="EE12" s="61">
        <f>EA$53-SUM(EA$10:EA12)</f>
        <v>1099380000</v>
      </c>
    </row>
    <row r="13" spans="1:135" s="33" customFormat="1" outlineLevel="1">
      <c r="A13" s="7">
        <f t="shared" si="166"/>
        <v>2026</v>
      </c>
      <c r="B13" s="151">
        <f>Assumptions!B10</f>
        <v>5.3800000000000001E-2</v>
      </c>
      <c r="C13" s="151">
        <f>Assumptions!C10</f>
        <v>5.3800000000000001E-2</v>
      </c>
      <c r="D13" s="151">
        <f>Assumptions!D10</f>
        <v>3.5000000000000003E-2</v>
      </c>
      <c r="E13" s="151">
        <f>Assumptions!E10</f>
        <v>5.2999999999999999E-2</v>
      </c>
      <c r="F13" s="151">
        <f>Assumptions!F10</f>
        <v>0</v>
      </c>
      <c r="G13" s="151">
        <f>Assumptions!G10</f>
        <v>3.0000000000000001E-3</v>
      </c>
      <c r="H13" s="151">
        <f>Assumptions!H10</f>
        <v>8.0000000000000004E-4</v>
      </c>
      <c r="I13" s="151"/>
      <c r="J13" s="151"/>
      <c r="K13" s="151"/>
      <c r="L13" s="8"/>
      <c r="M13" s="87">
        <f>IF($A13=M$58,M$53-SUM(M$11:M12), 0)</f>
        <v>0</v>
      </c>
      <c r="N13" s="8">
        <f t="shared" si="128"/>
        <v>5.7000000000000002E-2</v>
      </c>
      <c r="O13" s="87">
        <f>IF($A13&gt;M$58, 0, SUM(M13:M$47)*N13*M$63/M$64+SUM(M14:M$47)*(M$64-M$63)/M$64*N13)</f>
        <v>388455</v>
      </c>
      <c r="P13" s="35"/>
      <c r="Q13" s="87">
        <f>IF($A13=Q$58,Q$53-SUM(Q$11:Q12), 0)</f>
        <v>0</v>
      </c>
      <c r="R13" s="8">
        <f t="shared" si="129"/>
        <v>7.7499999999999999E-2</v>
      </c>
      <c r="S13" s="87">
        <f>IF($A13&gt;Q$58, 0, SUM(Q13:Q$47)*R13*Q$63/Q$64+SUM(Q14:Q$47)*(Q$64-Q$63)/Q$64*R13)</f>
        <v>775000</v>
      </c>
      <c r="T13" s="35"/>
      <c r="U13" s="35">
        <f t="shared" si="130"/>
        <v>0</v>
      </c>
      <c r="V13" s="35">
        <f t="shared" si="131"/>
        <v>1163455</v>
      </c>
      <c r="W13" s="35"/>
      <c r="X13" s="87">
        <f>IF($A13=X$58,X$53-SUM(X$11:X12), 0)</f>
        <v>0</v>
      </c>
      <c r="Y13" s="8">
        <f t="shared" si="132"/>
        <v>5.5E-2</v>
      </c>
      <c r="Z13" s="87">
        <f>IF($A13&gt;X$58, 0, SUM(X13:X$47)*Y13*X$63/X$64+SUM(X14:X$47)*(X$64-X$63)/X$64*Y13)</f>
        <v>12074425</v>
      </c>
      <c r="AA13" s="87"/>
      <c r="AB13" s="87">
        <f>IF($A13=AB$58,AB$53-SUM(AB$11:AB12), 0)</f>
        <v>0</v>
      </c>
      <c r="AC13" s="8">
        <f t="shared" si="133"/>
        <v>5.7500000000000002E-2</v>
      </c>
      <c r="AD13" s="87">
        <f>IF($A13&gt;AB$58, 0, SUM(AB13:AB$47)*AC13*AB$63/AB$64+SUM(AB14:AB$47)*(AB$64-AB$63)/AB$64*AC13)</f>
        <v>7187500</v>
      </c>
      <c r="AE13" s="35"/>
      <c r="AF13" s="87">
        <f>IF($A13=AF$58,AF$53-SUM(AF$11:AF12), 0)</f>
        <v>0</v>
      </c>
      <c r="AG13" s="8">
        <f t="shared" si="134"/>
        <v>5.5E-2</v>
      </c>
      <c r="AH13" s="87">
        <f>IF($A13&gt;AF$58, 0, SUM(AF13:AF$47)*AG13*AF$63/AF$64+SUM(AF14:AF$47)*(AF$64-AF$63)/AF$64*AG13)</f>
        <v>550000</v>
      </c>
      <c r="AI13" s="35"/>
      <c r="AJ13" s="87">
        <f>IF($A13=AJ$58,AJ$53-SUM(AJ$11:AJ12), 0)</f>
        <v>0</v>
      </c>
      <c r="AK13" s="77">
        <f t="shared" si="135"/>
        <v>3.8800000000000008E-2</v>
      </c>
      <c r="AL13" s="87">
        <f>IF($A13&gt;AJ$58, 0, SUM(AJ13:AJ$47)*AK13*AJ$63/AJ$64+SUM(AJ14:AJ$47)*(AJ$64-AJ$63)/AJ$64*AK13)</f>
        <v>1940000.0000000005</v>
      </c>
      <c r="AM13" s="35"/>
      <c r="AN13" s="87">
        <f>IF($A13='Debt Service'!AN$58, 'Debt Service'!AN$53-SUM(AN$11:AN12), 0)</f>
        <v>0</v>
      </c>
      <c r="AO13" s="77" t="str">
        <f t="shared" si="136"/>
        <v xml:space="preserve">   </v>
      </c>
      <c r="AP13" s="87">
        <f>IF($A13&gt;'Debt Service'!AN$58, 0, SUM(AN13:AN$47)*AO13*AN$63/AN$64+SUM(AN14:AN$47)*(AN$64-AN$63)/AN$64*AO13)</f>
        <v>0</v>
      </c>
      <c r="AQ13" s="35"/>
      <c r="AR13" s="87">
        <f>IF($A13=AR$58,AR$53-SUM(AR$11:AR12), 0)</f>
        <v>0</v>
      </c>
      <c r="AS13" s="77">
        <f t="shared" si="137"/>
        <v>4.3546000000000001E-2</v>
      </c>
      <c r="AT13" s="87">
        <f>IF($A13&gt;AR$58, 0, SUM(AR13:AR$47)*AS13*AR$63/AR$64+SUM(AR14:AR$47)*(AR$64-AR$63)/AR$64*AS13)</f>
        <v>2177300</v>
      </c>
      <c r="AV13" s="35">
        <f t="shared" si="138"/>
        <v>0</v>
      </c>
      <c r="AW13" s="35">
        <f t="shared" si="139"/>
        <v>4667300</v>
      </c>
      <c r="AX13" s="35"/>
      <c r="AY13" s="87">
        <f>IF($A13=AY$58,AY$53-SUM(AY$11:AY12), 0)</f>
        <v>0</v>
      </c>
      <c r="AZ13" s="8">
        <f t="shared" si="140"/>
        <v>0.05</v>
      </c>
      <c r="BA13" s="87">
        <f>IF($A13&gt;AY$58, 0, SUM(AY13:AY$47)*AZ13*AY$63/AY$64+SUM(AY14:AY$47)*(AY$64-AY$63)/AY$64*AZ13)</f>
        <v>500000</v>
      </c>
      <c r="BB13" s="61"/>
      <c r="BC13" s="87">
        <f>IF($A13=BC$58,BC$53-SUM(BC$11:BC12), 0)</f>
        <v>0</v>
      </c>
      <c r="BD13" s="77">
        <f t="shared" si="141"/>
        <v>4.3646000000000004E-2</v>
      </c>
      <c r="BE13" s="87">
        <f>IF($A13&gt;BC$58, 0, SUM(BC13:BC$47)*BD13*BC$63/BC$64+SUM(BC14:BC$47)*(BC$64-BC$63)/BC$64*BD13)</f>
        <v>1309380.0000000002</v>
      </c>
      <c r="BF13" s="61"/>
      <c r="BG13" s="87">
        <f>IF($A13=BG$58,BG$53-SUM(BG$11:BG12), 0)</f>
        <v>0</v>
      </c>
      <c r="BH13" s="77">
        <f t="shared" si="142"/>
        <v>4.4846000000000004E-2</v>
      </c>
      <c r="BI13" s="87">
        <f>IF($A13&gt;BG$58, 0, SUM(BG13:BG$47)*BH13*BG$63/BG$64+SUM(BG14:BG$47)*(BG$64-BG$63)/BG$64*BH13)</f>
        <v>3363450.0000000005</v>
      </c>
      <c r="BJ13" s="61"/>
      <c r="BK13" s="35">
        <f t="shared" si="167"/>
        <v>0</v>
      </c>
      <c r="BL13" s="35">
        <f t="shared" si="168"/>
        <v>5172830.0000000009</v>
      </c>
      <c r="BM13" s="8"/>
      <c r="BN13" s="87">
        <f>IF($A13=BN$58,BN$53-SUM(BN$11:BN12), 0)</f>
        <v>0</v>
      </c>
      <c r="BO13" s="8" t="str">
        <f t="shared" si="143"/>
        <v xml:space="preserve">   </v>
      </c>
      <c r="BP13" s="87">
        <f>IF($A13&gt;BN$58, 0, SUM(BN13:BN$47)*BO13*BN$63/BN$64+SUM(BN14:BN$47)*(BN$64-BN$63)/BN$64*BO13)</f>
        <v>0</v>
      </c>
      <c r="BQ13" s="77"/>
      <c r="BR13" s="87">
        <f>IF($A13=BR$58,BR$53-SUM(BR$11:BR12), 0)</f>
        <v>0</v>
      </c>
      <c r="BS13" s="77">
        <f t="shared" si="144"/>
        <v>3.8800000000000008E-2</v>
      </c>
      <c r="BT13" s="87">
        <f>IF($A13&gt;BR$58, 0, SUM(BR13:BR$47)*BS13*BR$63/BR$64+SUM(BR14:BR$47)*(BR$64-BR$63)/BR$64*BS13)</f>
        <v>2910000.0000000005</v>
      </c>
      <c r="BU13" s="87"/>
      <c r="BV13" s="35">
        <f t="shared" si="169"/>
        <v>0</v>
      </c>
      <c r="BW13" s="35">
        <f t="shared" si="170"/>
        <v>2910000.0000000005</v>
      </c>
      <c r="BX13" s="87"/>
      <c r="BY13" s="87">
        <f>IF($A13='Debt Service'!BY$58, 'Debt Service'!BY$53-SUM(BY$11:BY12), 0)</f>
        <v>0</v>
      </c>
      <c r="BZ13" s="8">
        <f>IF($A13&gt;'Debt Service'!BY$58, "   ",'Debt Service'!BY$54)</f>
        <v>0.02</v>
      </c>
      <c r="CA13" s="87">
        <f t="shared" si="145"/>
        <v>900000</v>
      </c>
      <c r="CB13" s="87"/>
      <c r="CC13" s="87">
        <f>IF($A13='Debt Service'!CC$58, 'Debt Service'!CC$53-SUM(CC$11:CC12), 0)</f>
        <v>0</v>
      </c>
      <c r="CD13" s="77">
        <f t="shared" si="146"/>
        <v>0.05</v>
      </c>
      <c r="CE13" s="87">
        <f>IF(OR($A13&gt;'Debt Service'!CC$58, $A13&lt;CC$51), 0, SUM(CC13:CC$47)*CD13*CC$63/CC$64+SUM(CC14:CC$47)*(CC$64-CC$63)/CC$64*CD13)</f>
        <v>250000</v>
      </c>
      <c r="CF13" s="87"/>
      <c r="CG13" s="87">
        <f>IF($A13=CG$58,CG$53-SUM(CG$11:CG12), 0)</f>
        <v>0</v>
      </c>
      <c r="CH13" s="77">
        <f t="shared" si="147"/>
        <v>3.9000000000000007E-2</v>
      </c>
      <c r="CI13" s="87">
        <f>IF($A13&gt;CG$58, 0, SUM(CG13:CG$47)*CH13*CG$63/CG$64+SUM(CG14:CG$47)*(CG$64-CG$63)/CG$64*CH13)</f>
        <v>2925000.0000000005</v>
      </c>
      <c r="CJ13" s="87"/>
      <c r="CK13" s="87">
        <f>IF($A13=CK$58,CK$53-SUM(CK$11:CK12), 0)</f>
        <v>0</v>
      </c>
      <c r="CL13" s="77">
        <f t="shared" si="148"/>
        <v>4.0410000000000001E-2</v>
      </c>
      <c r="CM13" s="87">
        <f>IF($A13&gt;CK$58, 0, SUM(CK13:CK$47)*CL13*CK$63/CK$64+SUM(CK14:CK$47)*(CK$64-CK$63)/CK$64*CL13)</f>
        <v>3030750</v>
      </c>
      <c r="CN13" s="87"/>
      <c r="CO13" s="162">
        <f t="shared" si="149"/>
        <v>0</v>
      </c>
      <c r="CP13" s="87">
        <f t="shared" si="150"/>
        <v>6205750</v>
      </c>
      <c r="CQ13" s="8"/>
      <c r="CR13" s="87">
        <f>IF($A13='Debt Service'!CR$58, 'Debt Service'!CR$53-SUM(CR$11:CR12), 0)</f>
        <v>0</v>
      </c>
      <c r="CS13" s="77">
        <f t="shared" si="151"/>
        <v>4.0909090909090909E-2</v>
      </c>
      <c r="CT13" s="87">
        <f>IF($A13&gt;'Debt Service'!CR$58, 0, SUM(CR13:CR$47)*CS13*CR$63/CR$64+SUM(CR14:CR$47)*(CR$64-CR$63)/CR$64*CS13)</f>
        <v>900000</v>
      </c>
      <c r="CU13" s="8"/>
      <c r="CV13" s="87">
        <f>IF($A13=CV$58,CV$53-SUM(CV$11:CV12), 0)</f>
        <v>0</v>
      </c>
      <c r="CW13" s="77">
        <f t="shared" si="152"/>
        <v>3.8800000000000008E-2</v>
      </c>
      <c r="CX13" s="87">
        <f>IF($A13&gt;CV$58, 0, SUM(CV13:CV$47)*CW13*CV$63/CV$64+SUM(CV14:CV$47)*(CV$64-CV$63)/CV$64*CW13)</f>
        <v>2910000.0000000005</v>
      </c>
      <c r="CY13" s="8"/>
      <c r="CZ13" s="165">
        <f t="shared" si="153"/>
        <v>0</v>
      </c>
      <c r="DA13" s="165">
        <f t="shared" si="154"/>
        <v>3810000.0000000005</v>
      </c>
      <c r="DB13" s="165"/>
      <c r="DC13" s="87">
        <f t="shared" si="155"/>
        <v>0</v>
      </c>
      <c r="DD13" s="77" t="str">
        <f t="shared" si="156"/>
        <v>---</v>
      </c>
      <c r="DE13" s="87">
        <f t="shared" si="157"/>
        <v>2820600</v>
      </c>
      <c r="DF13" s="165"/>
      <c r="DG13" s="87">
        <f>IF($A13=DG$58,DG$53-SUM(DG$11:DG12), 0)</f>
        <v>0</v>
      </c>
      <c r="DH13" s="77" t="str">
        <f t="shared" si="158"/>
        <v xml:space="preserve">   </v>
      </c>
      <c r="DI13" s="87">
        <f>IF(OR($A13&gt;DG$58,$A13&lt;DG$51), 0, SUM(DG13:DG$47)*DH13*DG$63/DG$64+SUM(DG14:DG$47)*(DG$64-DG$63)/DG$64*DH13)</f>
        <v>0</v>
      </c>
      <c r="DJ13" s="87"/>
      <c r="DK13" s="87">
        <f>IF($A13=DK$58,DK$53-SUM(DK$11:DK12), 0)</f>
        <v>0</v>
      </c>
      <c r="DL13" s="77" t="str">
        <f t="shared" si="159"/>
        <v xml:space="preserve">   </v>
      </c>
      <c r="DM13" s="87">
        <f>IF(OR($A13&gt;DK$58,$A13&lt;DK$51), 0, SUM(DK13:DK$47)*DL13*DK$63/DK$64+SUM(DK14:DK$47)*(DK$64-DK$63)/DK$64*DL13)</f>
        <v>0</v>
      </c>
      <c r="DN13" s="87"/>
      <c r="DO13" s="87">
        <f>IF($A13=DO$58,DO$53-SUM(DO$11:DO12), 0)</f>
        <v>0</v>
      </c>
      <c r="DP13" s="77" t="str">
        <f t="shared" si="160"/>
        <v xml:space="preserve">   </v>
      </c>
      <c r="DQ13" s="87">
        <f>IF(OR($A13&gt;DO$58,$A13&lt;DO$51), 0, SUM(DO13:DO$47)*DP13*DO$63/DO$64+SUM(DO14:DO$47)*(DO$64-DO$63)/DO$64*DP13)</f>
        <v>0</v>
      </c>
      <c r="DR13" s="165"/>
      <c r="DS13" s="87">
        <f>IF($A13=DS$58,DS$53-SUM(DS$11:DS12), 0)</f>
        <v>0</v>
      </c>
      <c r="DT13" s="77" t="str">
        <f t="shared" si="161"/>
        <v xml:space="preserve">   </v>
      </c>
      <c r="DU13" s="87">
        <f>IF(OR($A13&gt;DS$58,$A13&lt;DS$51), 0, SUM(DS13:DS$47)*DT13*DS$63/DS$64+SUM(DS14:DS$47)*(DS$64-DS$63)/DS$64*DT13)</f>
        <v>0</v>
      </c>
      <c r="DV13" s="165"/>
      <c r="DW13" s="165">
        <f t="shared" si="171"/>
        <v>0</v>
      </c>
      <c r="DX13" s="165">
        <f t="shared" si="172"/>
        <v>26486480</v>
      </c>
      <c r="DY13" s="8"/>
      <c r="DZ13" s="53">
        <f t="shared" si="162"/>
        <v>2026</v>
      </c>
      <c r="EA13" s="35">
        <f t="shared" si="163"/>
        <v>0</v>
      </c>
      <c r="EB13" s="35">
        <f t="shared" si="164"/>
        <v>46911860</v>
      </c>
      <c r="EC13" s="35">
        <f t="shared" si="165"/>
        <v>46911860</v>
      </c>
      <c r="ED13" s="171">
        <f t="shared" si="173"/>
        <v>3</v>
      </c>
      <c r="EE13" s="61">
        <f>EA$53-SUM(EA$10:EA13)</f>
        <v>1099380000</v>
      </c>
    </row>
    <row r="14" spans="1:135" s="33" customFormat="1" outlineLevel="1">
      <c r="A14" s="7">
        <f t="shared" si="166"/>
        <v>2027</v>
      </c>
      <c r="B14" s="151">
        <f>Assumptions!B11</f>
        <v>5.3800000000000001E-2</v>
      </c>
      <c r="C14" s="151">
        <f>Assumptions!C11</f>
        <v>5.3800000000000001E-2</v>
      </c>
      <c r="D14" s="151">
        <f>Assumptions!D11</f>
        <v>3.5000000000000003E-2</v>
      </c>
      <c r="E14" s="151">
        <f>Assumptions!E11</f>
        <v>5.2999999999999999E-2</v>
      </c>
      <c r="F14" s="151">
        <f>Assumptions!F11</f>
        <v>0</v>
      </c>
      <c r="G14" s="151">
        <f>Assumptions!G11</f>
        <v>3.0000000000000001E-3</v>
      </c>
      <c r="H14" s="151">
        <f>Assumptions!H11</f>
        <v>8.0000000000000004E-4</v>
      </c>
      <c r="I14" s="151"/>
      <c r="J14" s="151"/>
      <c r="K14" s="151"/>
      <c r="L14" s="8"/>
      <c r="M14" s="87">
        <f>IF($A14=M$58,M$53-SUM(M$11:M13), 0)</f>
        <v>6815000</v>
      </c>
      <c r="N14" s="8">
        <f t="shared" si="128"/>
        <v>5.7000000000000002E-2</v>
      </c>
      <c r="O14" s="87">
        <f>IF($A14&gt;M$58, 0, SUM(M14:M$47)*N14*M$63/M$64+SUM(M15:M$47)*(M$64-M$63)/M$64*N14)</f>
        <v>388455</v>
      </c>
      <c r="P14" s="35"/>
      <c r="Q14" s="87">
        <f>IF($A14=Q$58,Q$53-SUM(Q$11:Q13), 0)</f>
        <v>10000000</v>
      </c>
      <c r="R14" s="8">
        <f t="shared" si="129"/>
        <v>7.7499999999999999E-2</v>
      </c>
      <c r="S14" s="87">
        <f>IF($A14&gt;Q$58, 0, SUM(Q14:Q$47)*R14*Q$63/Q$64+SUM(Q15:Q$47)*(Q$64-Q$63)/Q$64*R14)</f>
        <v>775000</v>
      </c>
      <c r="T14" s="35"/>
      <c r="U14" s="35">
        <f t="shared" si="130"/>
        <v>16815000</v>
      </c>
      <c r="V14" s="35">
        <f t="shared" si="131"/>
        <v>1163455</v>
      </c>
      <c r="W14" s="35"/>
      <c r="X14" s="87">
        <f>IF($A14=X$58,X$53-SUM(X$11:X13), 0)</f>
        <v>0</v>
      </c>
      <c r="Y14" s="8">
        <f t="shared" si="132"/>
        <v>5.5E-2</v>
      </c>
      <c r="Z14" s="87">
        <f>IF($A14&gt;X$58, 0, SUM(X14:X$47)*Y14*X$63/X$64+SUM(X15:X$47)*(X$64-X$63)/X$64*Y14)</f>
        <v>12074425</v>
      </c>
      <c r="AA14" s="87"/>
      <c r="AB14" s="87">
        <f>IF($A14=AB$58,AB$53-SUM(AB$11:AB13), 0)</f>
        <v>0</v>
      </c>
      <c r="AC14" s="8">
        <f t="shared" si="133"/>
        <v>5.7500000000000002E-2</v>
      </c>
      <c r="AD14" s="87">
        <f>IF($A14&gt;AB$58, 0, SUM(AB14:AB$47)*AC14*AB$63/AB$64+SUM(AB15:AB$47)*(AB$64-AB$63)/AB$64*AC14)</f>
        <v>7187500</v>
      </c>
      <c r="AE14" s="35"/>
      <c r="AF14" s="87">
        <f>IF($A14=AF$58,AF$53-SUM(AF$11:AF13), 0)</f>
        <v>0</v>
      </c>
      <c r="AG14" s="8">
        <f t="shared" si="134"/>
        <v>5.5E-2</v>
      </c>
      <c r="AH14" s="87">
        <f>IF($A14&gt;AF$58, 0, SUM(AF14:AF$47)*AG14*AF$63/AF$64+SUM(AF15:AF$47)*(AF$64-AF$63)/AF$64*AG14)</f>
        <v>550000</v>
      </c>
      <c r="AI14" s="35"/>
      <c r="AJ14" s="87">
        <f>IF($A14=AJ$58,AJ$53-SUM(AJ$11:AJ13), 0)</f>
        <v>0</v>
      </c>
      <c r="AK14" s="77">
        <f t="shared" si="135"/>
        <v>3.8800000000000008E-2</v>
      </c>
      <c r="AL14" s="87">
        <f>IF($A14&gt;AJ$58, 0, SUM(AJ14:AJ$47)*AK14*AJ$63/AJ$64+SUM(AJ15:AJ$47)*(AJ$64-AJ$63)/AJ$64*AK14)</f>
        <v>1940000.0000000005</v>
      </c>
      <c r="AM14" s="35"/>
      <c r="AN14" s="87">
        <f>IF($A14='Debt Service'!AN$58, 'Debt Service'!AN$53-SUM(AN$11:AN13), 0)</f>
        <v>0</v>
      </c>
      <c r="AO14" s="77" t="str">
        <f t="shared" si="136"/>
        <v xml:space="preserve">   </v>
      </c>
      <c r="AP14" s="87">
        <f>IF($A14&gt;'Debt Service'!AN$58, 0, SUM(AN14:AN$47)*AO14*AN$63/AN$64+SUM(AN15:AN$47)*(AN$64-AN$63)/AN$64*AO14)</f>
        <v>0</v>
      </c>
      <c r="AQ14" s="35"/>
      <c r="AR14" s="87">
        <f>IF($A14=AR$58,AR$53-SUM(AR$11:AR13), 0)</f>
        <v>0</v>
      </c>
      <c r="AS14" s="77">
        <f t="shared" si="137"/>
        <v>4.3546000000000001E-2</v>
      </c>
      <c r="AT14" s="87">
        <f>IF($A14&gt;AR$58, 0, SUM(AR14:AR$47)*AS14*AR$63/AR$64+SUM(AR15:AR$47)*(AR$64-AR$63)/AR$64*AS14)</f>
        <v>2177300</v>
      </c>
      <c r="AV14" s="35">
        <f t="shared" si="138"/>
        <v>0</v>
      </c>
      <c r="AW14" s="35">
        <f t="shared" si="139"/>
        <v>4667300</v>
      </c>
      <c r="AX14" s="35"/>
      <c r="AY14" s="87">
        <f>IF($A14=AY$58,AY$53-SUM(AY$11:AY13), 0)</f>
        <v>0</v>
      </c>
      <c r="AZ14" s="8">
        <f t="shared" si="140"/>
        <v>0.05</v>
      </c>
      <c r="BA14" s="87">
        <f>IF($A14&gt;AY$58, 0, SUM(AY14:AY$47)*AZ14*AY$63/AY$64+SUM(AY15:AY$47)*(AY$64-AY$63)/AY$64*AZ14)</f>
        <v>500000</v>
      </c>
      <c r="BB14" s="61"/>
      <c r="BC14" s="87">
        <f>IF($A14=BC$58,BC$53-SUM(BC$11:BC13), 0)</f>
        <v>0</v>
      </c>
      <c r="BD14" s="77">
        <f t="shared" si="141"/>
        <v>4.3646000000000004E-2</v>
      </c>
      <c r="BE14" s="87">
        <f>IF($A14&gt;BC$58, 0, SUM(BC14:BC$47)*BD14*BC$63/BC$64+SUM(BC15:BC$47)*(BC$64-BC$63)/BC$64*BD14)</f>
        <v>1309380.0000000002</v>
      </c>
      <c r="BF14" s="61"/>
      <c r="BG14" s="87">
        <f>IF($A14=BG$58,BG$53-SUM(BG$11:BG13), 0)</f>
        <v>0</v>
      </c>
      <c r="BH14" s="77">
        <f t="shared" si="142"/>
        <v>4.4846000000000004E-2</v>
      </c>
      <c r="BI14" s="87">
        <f>IF($A14&gt;BG$58, 0, SUM(BG14:BG$47)*BH14*BG$63/BG$64+SUM(BG15:BG$47)*(BG$64-BG$63)/BG$64*BH14)</f>
        <v>3363450.0000000005</v>
      </c>
      <c r="BJ14" s="61"/>
      <c r="BK14" s="35">
        <f t="shared" si="167"/>
        <v>0</v>
      </c>
      <c r="BL14" s="35">
        <f t="shared" si="168"/>
        <v>5172830.0000000009</v>
      </c>
      <c r="BM14" s="8"/>
      <c r="BN14" s="87">
        <f>IF($A14=BN$58,BN$53-SUM(BN$11:BN13), 0)</f>
        <v>0</v>
      </c>
      <c r="BO14" s="8" t="str">
        <f t="shared" si="143"/>
        <v xml:space="preserve">   </v>
      </c>
      <c r="BP14" s="87">
        <f>IF($A14&gt;BN$58, 0, SUM(BN14:BN$47)*BO14*BN$63/BN$64+SUM(BN15:BN$47)*(BN$64-BN$63)/BN$64*BO14)</f>
        <v>0</v>
      </c>
      <c r="BQ14" s="77"/>
      <c r="BR14" s="87">
        <f>IF($A14=BR$58,BR$53-SUM(BR$11:BR13), 0)</f>
        <v>0</v>
      </c>
      <c r="BS14" s="77">
        <f t="shared" si="144"/>
        <v>3.8800000000000008E-2</v>
      </c>
      <c r="BT14" s="87">
        <f>IF($A14&gt;BR$58, 0, SUM(BR14:BR$47)*BS14*BR$63/BR$64+SUM(BR15:BR$47)*(BR$64-BR$63)/BR$64*BS14)</f>
        <v>2910000.0000000005</v>
      </c>
      <c r="BU14" s="87"/>
      <c r="BV14" s="35">
        <f t="shared" si="169"/>
        <v>0</v>
      </c>
      <c r="BW14" s="35">
        <f t="shared" si="170"/>
        <v>2910000.0000000005</v>
      </c>
      <c r="BX14" s="87"/>
      <c r="BY14" s="87">
        <f>IF($A14='Debt Service'!BY$58, 'Debt Service'!BY$53-SUM(BY$11:BY13), 0)</f>
        <v>0</v>
      </c>
      <c r="BZ14" s="8">
        <f>IF($A14&gt;'Debt Service'!BY$58, "   ",'Debt Service'!BY$54)</f>
        <v>0.02</v>
      </c>
      <c r="CA14" s="87">
        <f t="shared" si="145"/>
        <v>900000</v>
      </c>
      <c r="CB14" s="87"/>
      <c r="CC14" s="87">
        <f>IF($A14='Debt Service'!CC$58, 'Debt Service'!CC$53-SUM(CC$11:CC13), 0)</f>
        <v>0</v>
      </c>
      <c r="CD14" s="77">
        <f t="shared" si="146"/>
        <v>0.05</v>
      </c>
      <c r="CE14" s="87">
        <f>IF(OR($A14&gt;'Debt Service'!CC$58, $A14&lt;CC$51), 0, SUM(CC14:CC$47)*CD14*CC$63/CC$64+SUM(CC15:CC$47)*(CC$64-CC$63)/CC$64*CD14)</f>
        <v>250000</v>
      </c>
      <c r="CF14" s="87"/>
      <c r="CG14" s="87">
        <f>IF($A14=CG$58,CG$53-SUM(CG$11:CG13), 0)</f>
        <v>0</v>
      </c>
      <c r="CH14" s="77">
        <f t="shared" si="147"/>
        <v>3.9000000000000007E-2</v>
      </c>
      <c r="CI14" s="87">
        <f>IF($A14&gt;CG$58, 0, SUM(CG14:CG$47)*CH14*CG$63/CG$64+SUM(CG15:CG$47)*(CG$64-CG$63)/CG$64*CH14)</f>
        <v>2925000.0000000005</v>
      </c>
      <c r="CJ14" s="87"/>
      <c r="CK14" s="87">
        <f>IF($A14=CK$58,CK$53-SUM(CK$11:CK13), 0)</f>
        <v>0</v>
      </c>
      <c r="CL14" s="77">
        <f t="shared" si="148"/>
        <v>4.0410000000000001E-2</v>
      </c>
      <c r="CM14" s="87">
        <f>IF($A14&gt;CK$58, 0, SUM(CK14:CK$47)*CL14*CK$63/CK$64+SUM(CK15:CK$47)*(CK$64-CK$63)/CK$64*CL14)</f>
        <v>3030750</v>
      </c>
      <c r="CN14" s="87"/>
      <c r="CO14" s="162">
        <f t="shared" si="149"/>
        <v>0</v>
      </c>
      <c r="CP14" s="87">
        <f t="shared" si="150"/>
        <v>6205750</v>
      </c>
      <c r="CQ14" s="87"/>
      <c r="CR14" s="87">
        <f>IF($A14='Debt Service'!CR$58, 'Debt Service'!CR$53-SUM(CR$11:CR13), 0)</f>
        <v>0</v>
      </c>
      <c r="CS14" s="77">
        <f t="shared" si="151"/>
        <v>4.0909090909090909E-2</v>
      </c>
      <c r="CT14" s="87">
        <f>IF($A14&gt;'Debt Service'!CR$58, 0, SUM(CR14:CR$47)*CS14*CR$63/CR$64+SUM(CR15:CR$47)*(CR$64-CR$63)/CR$64*CS14)</f>
        <v>900000</v>
      </c>
      <c r="CU14" s="87"/>
      <c r="CV14" s="87">
        <f>IF($A14=CV$58,CV$53-SUM(CV$11:CV13), 0)</f>
        <v>0</v>
      </c>
      <c r="CW14" s="77">
        <f t="shared" si="152"/>
        <v>3.8800000000000008E-2</v>
      </c>
      <c r="CX14" s="87">
        <f>IF($A14&gt;CV$58, 0, SUM(CV14:CV$47)*CW14*CV$63/CV$64+SUM(CV15:CV$47)*(CV$64-CV$63)/CV$64*CW14)</f>
        <v>2910000.0000000005</v>
      </c>
      <c r="CY14" s="87"/>
      <c r="CZ14" s="165">
        <f t="shared" si="153"/>
        <v>0</v>
      </c>
      <c r="DA14" s="165">
        <f t="shared" si="154"/>
        <v>3810000.0000000005</v>
      </c>
      <c r="DB14" s="165"/>
      <c r="DC14" s="87">
        <f t="shared" si="155"/>
        <v>0</v>
      </c>
      <c r="DD14" s="77" t="str">
        <f t="shared" si="156"/>
        <v>---</v>
      </c>
      <c r="DE14" s="87">
        <f t="shared" si="157"/>
        <v>2820600</v>
      </c>
      <c r="DF14" s="165"/>
      <c r="DG14" s="87">
        <f>IF($A14=DG$58,DG$53-SUM(DG$11:DG13), 0)</f>
        <v>0</v>
      </c>
      <c r="DH14" s="77" t="str">
        <f t="shared" si="158"/>
        <v xml:space="preserve">   </v>
      </c>
      <c r="DI14" s="87">
        <f>IF(OR($A14&gt;DG$58,$A14&lt;DG$51), 0, SUM(DG14:DG$47)*DH14*DG$63/DG$64+SUM(DG15:DG$47)*(DG$64-DG$63)/DG$64*DH14)</f>
        <v>0</v>
      </c>
      <c r="DJ14" s="87"/>
      <c r="DK14" s="87">
        <f>IF($A14=DK$58,DK$53-SUM(DK$11:DK13), 0)</f>
        <v>0</v>
      </c>
      <c r="DL14" s="77" t="str">
        <f t="shared" si="159"/>
        <v xml:space="preserve">   </v>
      </c>
      <c r="DM14" s="87">
        <f>IF(OR($A14&gt;DK$58,$A14&lt;DK$51), 0, SUM(DK14:DK$47)*DL14*DK$63/DK$64+SUM(DK15:DK$47)*(DK$64-DK$63)/DK$64*DL14)</f>
        <v>0</v>
      </c>
      <c r="DN14" s="87"/>
      <c r="DO14" s="87">
        <f>IF($A14=DO$58,DO$53-SUM(DO$11:DO13), 0)</f>
        <v>0</v>
      </c>
      <c r="DP14" s="77" t="str">
        <f t="shared" si="160"/>
        <v xml:space="preserve">   </v>
      </c>
      <c r="DQ14" s="87">
        <f>IF(OR($A14&gt;DO$58,$A14&lt;DO$51), 0, SUM(DO14:DO$47)*DP14*DO$63/DO$64+SUM(DO15:DO$47)*(DO$64-DO$63)/DO$64*DP14)</f>
        <v>0</v>
      </c>
      <c r="DR14" s="165"/>
      <c r="DS14" s="87">
        <f>IF($A14=DS$58,DS$53-SUM(DS$11:DS13), 0)</f>
        <v>0</v>
      </c>
      <c r="DT14" s="77" t="str">
        <f t="shared" si="161"/>
        <v xml:space="preserve">   </v>
      </c>
      <c r="DU14" s="87">
        <f>IF(OR($A14&gt;DS$58,$A14&lt;DS$51), 0, SUM(DS14:DS$47)*DT14*DS$63/DS$64+SUM(DS15:DS$47)*(DS$64-DS$63)/DS$64*DT14)</f>
        <v>0</v>
      </c>
      <c r="DV14" s="165"/>
      <c r="DW14" s="165">
        <f t="shared" si="171"/>
        <v>0</v>
      </c>
      <c r="DX14" s="165">
        <f t="shared" si="172"/>
        <v>26486480</v>
      </c>
      <c r="DY14" s="87"/>
      <c r="DZ14" s="53">
        <f t="shared" si="162"/>
        <v>2027</v>
      </c>
      <c r="EA14" s="35">
        <f t="shared" si="163"/>
        <v>16815000</v>
      </c>
      <c r="EB14" s="35">
        <f t="shared" si="164"/>
        <v>46911860</v>
      </c>
      <c r="EC14" s="35">
        <f t="shared" si="165"/>
        <v>63726860</v>
      </c>
      <c r="ED14" s="171">
        <f t="shared" si="173"/>
        <v>4</v>
      </c>
      <c r="EE14" s="61">
        <f>EA$53-SUM(EA$10:EA14)</f>
        <v>1082565000</v>
      </c>
    </row>
    <row r="15" spans="1:135" s="33" customFormat="1" outlineLevel="1">
      <c r="A15" s="7">
        <f t="shared" si="166"/>
        <v>2028</v>
      </c>
      <c r="B15" s="151">
        <f>Assumptions!B12</f>
        <v>5.3800000000000001E-2</v>
      </c>
      <c r="C15" s="151">
        <f>Assumptions!C12</f>
        <v>5.3800000000000001E-2</v>
      </c>
      <c r="D15" s="151">
        <f>Assumptions!D12</f>
        <v>3.5000000000000003E-2</v>
      </c>
      <c r="E15" s="151">
        <f>Assumptions!E12</f>
        <v>5.2999999999999999E-2</v>
      </c>
      <c r="F15" s="151">
        <f>Assumptions!F12</f>
        <v>0</v>
      </c>
      <c r="G15" s="151">
        <f>Assumptions!G12</f>
        <v>3.0000000000000001E-3</v>
      </c>
      <c r="H15" s="151">
        <f>Assumptions!H12</f>
        <v>8.0000000000000004E-4</v>
      </c>
      <c r="I15" s="151"/>
      <c r="J15" s="151"/>
      <c r="K15" s="151"/>
      <c r="L15" s="8"/>
      <c r="M15" s="87">
        <f>IF($A15=M$58,M$53-SUM(M$11:M14), 0)</f>
        <v>0</v>
      </c>
      <c r="N15" s="8" t="str">
        <f t="shared" si="128"/>
        <v xml:space="preserve">   </v>
      </c>
      <c r="O15" s="87">
        <f>IF($A15&gt;M$58, 0, SUM(M15:M$47)*N15*M$63/M$64+SUM(M16:M$47)*(M$64-M$63)/M$64*N15)</f>
        <v>0</v>
      </c>
      <c r="P15" s="35"/>
      <c r="Q15" s="87">
        <f>IF($A15=Q$58,Q$53-SUM(Q$11:Q14), 0)</f>
        <v>0</v>
      </c>
      <c r="R15" s="8" t="str">
        <f t="shared" si="129"/>
        <v xml:space="preserve">   </v>
      </c>
      <c r="S15" s="87">
        <f>IF($A15&gt;Q$58, 0, SUM(Q15:Q$47)*R15*Q$63/Q$64+SUM(Q16:Q$47)*(Q$64-Q$63)/Q$64*R15)</f>
        <v>0</v>
      </c>
      <c r="T15" s="35"/>
      <c r="U15" s="35">
        <f t="shared" si="130"/>
        <v>0</v>
      </c>
      <c r="V15" s="35">
        <f t="shared" si="131"/>
        <v>0</v>
      </c>
      <c r="W15" s="35"/>
      <c r="X15" s="87">
        <f>IF($A15=X$58,X$53-SUM(X$11:X14), 0)</f>
        <v>219535000</v>
      </c>
      <c r="Y15" s="8">
        <f t="shared" si="132"/>
        <v>5.5E-2</v>
      </c>
      <c r="Z15" s="87">
        <f>IF($A15&gt;X$58, 0, SUM(X15:X$47)*Y15*X$63/X$64+SUM(X16:X$47)*(X$64-X$63)/X$64*Y15)</f>
        <v>12074425</v>
      </c>
      <c r="AA15" s="87"/>
      <c r="AB15" s="87">
        <f>IF($A15=AB$58,AB$53-SUM(AB$11:AB14), 0)</f>
        <v>0</v>
      </c>
      <c r="AC15" s="8">
        <f t="shared" si="133"/>
        <v>5.7500000000000002E-2</v>
      </c>
      <c r="AD15" s="87">
        <f>IF($A15&gt;AB$58, 0, SUM(AB15:AB$47)*AC15*AB$63/AB$64+SUM(AB16:AB$47)*(AB$64-AB$63)/AB$64*AC15)</f>
        <v>7187500</v>
      </c>
      <c r="AE15" s="35"/>
      <c r="AF15" s="87">
        <f>IF($A15=AF$58,AF$53-SUM(AF$11:AF14), 0)</f>
        <v>0</v>
      </c>
      <c r="AG15" s="8">
        <f t="shared" si="134"/>
        <v>5.5E-2</v>
      </c>
      <c r="AH15" s="87">
        <f>IF($A15&gt;AF$58, 0, SUM(AF15:AF$47)*AG15*AF$63/AF$64+SUM(AF16:AF$47)*(AF$64-AF$63)/AF$64*AG15)</f>
        <v>550000</v>
      </c>
      <c r="AI15" s="35"/>
      <c r="AJ15" s="87">
        <f>IF($A15=AJ$58,AJ$53-SUM(AJ$11:AJ14), 0)</f>
        <v>0</v>
      </c>
      <c r="AK15" s="77">
        <f t="shared" si="135"/>
        <v>3.8800000000000008E-2</v>
      </c>
      <c r="AL15" s="87">
        <f>IF($A15&gt;AJ$58, 0, SUM(AJ15:AJ$47)*AK15*AJ$63/AJ$64+SUM(AJ16:AJ$47)*(AJ$64-AJ$63)/AJ$64*AK15)</f>
        <v>1940000.0000000005</v>
      </c>
      <c r="AM15" s="35"/>
      <c r="AN15" s="87">
        <f>IF($A15='Debt Service'!AN$58, 'Debt Service'!AN$53-SUM(AN$11:AN14), 0)</f>
        <v>0</v>
      </c>
      <c r="AO15" s="77" t="str">
        <f t="shared" si="136"/>
        <v xml:space="preserve">   </v>
      </c>
      <c r="AP15" s="87">
        <f>IF($A15&gt;'Debt Service'!AN$58, 0, SUM(AN15:AN$47)*AO15*AN$63/AN$64+SUM(AN16:AN$47)*(AN$64-AN$63)/AN$64*AO15)</f>
        <v>0</v>
      </c>
      <c r="AQ15" s="35"/>
      <c r="AR15" s="87">
        <f>IF($A15=AR$58,AR$53-SUM(AR$11:AR14), 0)</f>
        <v>0</v>
      </c>
      <c r="AS15" s="77">
        <f t="shared" si="137"/>
        <v>4.3546000000000001E-2</v>
      </c>
      <c r="AT15" s="87">
        <f>IF($A15&gt;AR$58, 0, SUM(AR15:AR$47)*AS15*AR$63/AR$64+SUM(AR16:AR$47)*(AR$64-AR$63)/AR$64*AS15)</f>
        <v>2177300</v>
      </c>
      <c r="AV15" s="35">
        <f t="shared" si="138"/>
        <v>0</v>
      </c>
      <c r="AW15" s="35">
        <f t="shared" si="139"/>
        <v>4667300</v>
      </c>
      <c r="AX15" s="35"/>
      <c r="AY15" s="87">
        <f>IF($A15=AY$58,AY$53-SUM(AY$11:AY14), 0)</f>
        <v>0</v>
      </c>
      <c r="AZ15" s="8">
        <f t="shared" si="140"/>
        <v>0.05</v>
      </c>
      <c r="BA15" s="87">
        <f>IF($A15&gt;AY$58, 0, SUM(AY15:AY$47)*AZ15*AY$63/AY$64+SUM(AY16:AY$47)*(AY$64-AY$63)/AY$64*AZ15)</f>
        <v>500000</v>
      </c>
      <c r="BB15" s="61"/>
      <c r="BC15" s="87">
        <f>IF($A15=BC$58,BC$53-SUM(BC$11:BC14), 0)</f>
        <v>0</v>
      </c>
      <c r="BD15" s="77">
        <f t="shared" si="141"/>
        <v>4.3646000000000004E-2</v>
      </c>
      <c r="BE15" s="87">
        <f>IF($A15&gt;BC$58, 0, SUM(BC15:BC$47)*BD15*BC$63/BC$64+SUM(BC16:BC$47)*(BC$64-BC$63)/BC$64*BD15)</f>
        <v>1309380.0000000002</v>
      </c>
      <c r="BF15" s="61"/>
      <c r="BG15" s="87">
        <f>IF($A15=BG$58,BG$53-SUM(BG$11:BG14), 0)</f>
        <v>0</v>
      </c>
      <c r="BH15" s="77">
        <f t="shared" si="142"/>
        <v>4.4846000000000004E-2</v>
      </c>
      <c r="BI15" s="87">
        <f>IF($A15&gt;BG$58, 0, SUM(BG15:BG$47)*BH15*BG$63/BG$64+SUM(BG16:BG$47)*(BG$64-BG$63)/BG$64*BH15)</f>
        <v>3363450.0000000005</v>
      </c>
      <c r="BJ15" s="61"/>
      <c r="BK15" s="35">
        <f t="shared" si="167"/>
        <v>0</v>
      </c>
      <c r="BL15" s="35">
        <f t="shared" si="168"/>
        <v>5172830.0000000009</v>
      </c>
      <c r="BM15" s="8"/>
      <c r="BN15" s="87">
        <f>IF($A15=BN$58,BN$53-SUM(BN$11:BN14), 0)</f>
        <v>0</v>
      </c>
      <c r="BO15" s="8" t="str">
        <f t="shared" si="143"/>
        <v xml:space="preserve">   </v>
      </c>
      <c r="BP15" s="87">
        <f>IF($A15&gt;BN$58, 0, SUM(BN15:BN$47)*BO15*BN$63/BN$64+SUM(BN16:BN$47)*(BN$64-BN$63)/BN$64*BO15)</f>
        <v>0</v>
      </c>
      <c r="BQ15" s="77"/>
      <c r="BR15" s="87">
        <f>IF($A15=BR$58,BR$53-SUM(BR$11:BR14), 0)</f>
        <v>0</v>
      </c>
      <c r="BS15" s="77">
        <f t="shared" si="144"/>
        <v>3.8800000000000008E-2</v>
      </c>
      <c r="BT15" s="87">
        <f>IF($A15&gt;BR$58, 0, SUM(BR15:BR$47)*BS15*BR$63/BR$64+SUM(BR16:BR$47)*(BR$64-BR$63)/BR$64*BS15)</f>
        <v>2910000.0000000005</v>
      </c>
      <c r="BU15" s="87"/>
      <c r="BV15" s="35">
        <f t="shared" si="169"/>
        <v>0</v>
      </c>
      <c r="BW15" s="35">
        <f t="shared" si="170"/>
        <v>2910000.0000000005</v>
      </c>
      <c r="BX15" s="87"/>
      <c r="BY15" s="87">
        <f>IF($A15='Debt Service'!BY$58, 'Debt Service'!BY$53-SUM(BY$11:BY14), 0)</f>
        <v>0</v>
      </c>
      <c r="BZ15" s="8">
        <f>IF($A15&gt;'Debt Service'!BY$58, "   ",'Debt Service'!BY$54)</f>
        <v>0.02</v>
      </c>
      <c r="CA15" s="87">
        <f t="shared" si="145"/>
        <v>900000</v>
      </c>
      <c r="CB15" s="87"/>
      <c r="CC15" s="87">
        <f>IF($A15='Debt Service'!CC$58, 'Debt Service'!CC$53-SUM(CC$11:CC14), 0)</f>
        <v>0</v>
      </c>
      <c r="CD15" s="77">
        <f t="shared" si="146"/>
        <v>0.05</v>
      </c>
      <c r="CE15" s="87">
        <f>IF(OR($A15&gt;'Debt Service'!CC$58, $A15&lt;CC$51), 0, SUM(CC15:CC$47)*CD15*CC$63/CC$64+SUM(CC16:CC$47)*(CC$64-CC$63)/CC$64*CD15)</f>
        <v>250000</v>
      </c>
      <c r="CF15" s="87"/>
      <c r="CG15" s="87">
        <f>IF($A15=CG$58,CG$53-SUM(CG$11:CG14), 0)</f>
        <v>0</v>
      </c>
      <c r="CH15" s="77">
        <f t="shared" si="147"/>
        <v>3.9000000000000007E-2</v>
      </c>
      <c r="CI15" s="87">
        <f>IF($A15&gt;CG$58, 0, SUM(CG15:CG$47)*CH15*CG$63/CG$64+SUM(CG16:CG$47)*(CG$64-CG$63)/CG$64*CH15)</f>
        <v>2925000.0000000005</v>
      </c>
      <c r="CJ15" s="87"/>
      <c r="CK15" s="87">
        <f>IF($A15=CK$58,CK$53-SUM(CK$11:CK14), 0)</f>
        <v>0</v>
      </c>
      <c r="CL15" s="77">
        <f t="shared" si="148"/>
        <v>4.0410000000000001E-2</v>
      </c>
      <c r="CM15" s="87">
        <f>IF($A15&gt;CK$58, 0, SUM(CK15:CK$47)*CL15*CK$63/CK$64+SUM(CK16:CK$47)*(CK$64-CK$63)/CK$64*CL15)</f>
        <v>3030750</v>
      </c>
      <c r="CN15" s="87"/>
      <c r="CO15" s="162">
        <f t="shared" si="149"/>
        <v>0</v>
      </c>
      <c r="CP15" s="87">
        <f t="shared" si="150"/>
        <v>6205750</v>
      </c>
      <c r="CQ15" s="87"/>
      <c r="CR15" s="87">
        <f>IF($A15='Debt Service'!CR$58, 'Debt Service'!CR$53-SUM(CR$11:CR14), 0)</f>
        <v>0</v>
      </c>
      <c r="CS15" s="77">
        <f t="shared" si="151"/>
        <v>4.0909090909090909E-2</v>
      </c>
      <c r="CT15" s="87">
        <f>IF($A15&gt;'Debt Service'!CR$58, 0, SUM(CR15:CR$47)*CS15*CR$63/CR$64+SUM(CR16:CR$47)*(CR$64-CR$63)/CR$64*CS15)</f>
        <v>900000</v>
      </c>
      <c r="CU15" s="87"/>
      <c r="CV15" s="87">
        <f>IF($A15=CV$58,CV$53-SUM(CV$11:CV14), 0)</f>
        <v>0</v>
      </c>
      <c r="CW15" s="77">
        <f t="shared" si="152"/>
        <v>3.8800000000000008E-2</v>
      </c>
      <c r="CX15" s="87">
        <f>IF($A15&gt;CV$58, 0, SUM(CV15:CV$47)*CW15*CV$63/CV$64+SUM(CV16:CV$47)*(CV$64-CV$63)/CV$64*CW15)</f>
        <v>2910000.0000000005</v>
      </c>
      <c r="CY15" s="87"/>
      <c r="CZ15" s="165">
        <f t="shared" si="153"/>
        <v>0</v>
      </c>
      <c r="DA15" s="165">
        <f t="shared" si="154"/>
        <v>3810000.0000000005</v>
      </c>
      <c r="DB15" s="165"/>
      <c r="DC15" s="87">
        <f t="shared" si="155"/>
        <v>0</v>
      </c>
      <c r="DD15" s="77" t="str">
        <f t="shared" si="156"/>
        <v>---</v>
      </c>
      <c r="DE15" s="87">
        <f t="shared" si="157"/>
        <v>2820600</v>
      </c>
      <c r="DF15" s="165"/>
      <c r="DG15" s="87">
        <f>IF($A15=DG$58,DG$53-SUM(DG$11:DG14), 0)</f>
        <v>0</v>
      </c>
      <c r="DH15" s="77" t="str">
        <f t="shared" si="158"/>
        <v xml:space="preserve">   </v>
      </c>
      <c r="DI15" s="87">
        <f>IF(OR($A15&gt;DG$58,$A15&lt;DG$51), 0, SUM(DG15:DG$47)*DH15*DG$63/DG$64+SUM(DG16:DG$47)*(DG$64-DG$63)/DG$64*DH15)</f>
        <v>0</v>
      </c>
      <c r="DJ15" s="87"/>
      <c r="DK15" s="87">
        <f>IF($A15=DK$58,DK$53-SUM(DK$11:DK14), 0)</f>
        <v>0</v>
      </c>
      <c r="DL15" s="77" t="str">
        <f t="shared" si="159"/>
        <v xml:space="preserve">   </v>
      </c>
      <c r="DM15" s="87">
        <f>IF(OR($A15&gt;DK$58,$A15&lt;DK$51), 0, SUM(DK15:DK$47)*DL15*DK$63/DK$64+SUM(DK16:DK$47)*(DK$64-DK$63)/DK$64*DL15)</f>
        <v>0</v>
      </c>
      <c r="DN15" s="87"/>
      <c r="DO15" s="87">
        <f>IF($A15=DO$58,DO$53-SUM(DO$11:DO14), 0)</f>
        <v>0</v>
      </c>
      <c r="DP15" s="77" t="str">
        <f t="shared" si="160"/>
        <v xml:space="preserve">   </v>
      </c>
      <c r="DQ15" s="87">
        <f>IF(OR($A15&gt;DO$58,$A15&lt;DO$51), 0, SUM(DO15:DO$47)*DP15*DO$63/DO$64+SUM(DO16:DO$47)*(DO$64-DO$63)/DO$64*DP15)</f>
        <v>0</v>
      </c>
      <c r="DR15" s="165"/>
      <c r="DS15" s="87">
        <f>IF($A15=DS$58,DS$53-SUM(DS$11:DS14), 0)</f>
        <v>0</v>
      </c>
      <c r="DT15" s="77" t="str">
        <f t="shared" si="161"/>
        <v xml:space="preserve">   </v>
      </c>
      <c r="DU15" s="87">
        <f>IF(OR($A15&gt;DS$58,$A15&lt;DS$51), 0, SUM(DS15:DS$47)*DT15*DS$63/DS$64+SUM(DS16:DS$47)*(DS$64-DS$63)/DS$64*DT15)</f>
        <v>0</v>
      </c>
      <c r="DV15" s="165"/>
      <c r="DW15" s="165">
        <f t="shared" si="171"/>
        <v>0</v>
      </c>
      <c r="DX15" s="165">
        <f t="shared" si="172"/>
        <v>26486480</v>
      </c>
      <c r="DY15" s="87"/>
      <c r="DZ15" s="53">
        <f t="shared" si="162"/>
        <v>2028</v>
      </c>
      <c r="EA15" s="35">
        <f t="shared" si="163"/>
        <v>219535000</v>
      </c>
      <c r="EB15" s="35">
        <f t="shared" si="164"/>
        <v>45748405</v>
      </c>
      <c r="EC15" s="35">
        <f t="shared" si="165"/>
        <v>265283405</v>
      </c>
      <c r="ED15" s="171">
        <f t="shared" si="173"/>
        <v>5</v>
      </c>
      <c r="EE15" s="61">
        <f>EA$53-SUM(EA$10:EA15)</f>
        <v>863030000</v>
      </c>
    </row>
    <row r="16" spans="1:135" s="33" customFormat="1" outlineLevel="1">
      <c r="A16" s="7">
        <f t="shared" si="166"/>
        <v>2029</v>
      </c>
      <c r="B16" s="151">
        <f>Assumptions!B13</f>
        <v>5.3800000000000001E-2</v>
      </c>
      <c r="C16" s="151">
        <f>Assumptions!C13</f>
        <v>5.3800000000000001E-2</v>
      </c>
      <c r="D16" s="151">
        <f>Assumptions!D13</f>
        <v>3.5000000000000003E-2</v>
      </c>
      <c r="E16" s="151">
        <f>Assumptions!E13</f>
        <v>5.2999999999999999E-2</v>
      </c>
      <c r="F16" s="151">
        <f>Assumptions!F13</f>
        <v>0</v>
      </c>
      <c r="G16" s="151">
        <f>Assumptions!G13</f>
        <v>3.0000000000000001E-3</v>
      </c>
      <c r="H16" s="151">
        <f>Assumptions!H13</f>
        <v>8.0000000000000004E-4</v>
      </c>
      <c r="I16" s="151"/>
      <c r="J16" s="151"/>
      <c r="K16" s="151"/>
      <c r="L16" s="8"/>
      <c r="M16" s="87">
        <f>IF($A16=M$58,M$53-SUM(M$11:M15), 0)</f>
        <v>0</v>
      </c>
      <c r="N16" s="8" t="str">
        <f t="shared" si="128"/>
        <v xml:space="preserve">   </v>
      </c>
      <c r="O16" s="87">
        <f>IF($A16&gt;M$58, 0, SUM(M16:M$47)*N16*M$63/M$64+SUM(M17:M$47)*(M$64-M$63)/M$64*N16)</f>
        <v>0</v>
      </c>
      <c r="P16" s="35"/>
      <c r="Q16" s="87">
        <f>IF($A16=Q$58,Q$53-SUM(Q$11:Q15), 0)</f>
        <v>0</v>
      </c>
      <c r="R16" s="8" t="str">
        <f t="shared" si="129"/>
        <v xml:space="preserve">   </v>
      </c>
      <c r="S16" s="87">
        <f>IF($A16&gt;Q$58, 0, SUM(Q16:Q$47)*R16*Q$63/Q$64+SUM(Q17:Q$47)*(Q$64-Q$63)/Q$64*R16)</f>
        <v>0</v>
      </c>
      <c r="T16" s="35"/>
      <c r="U16" s="35">
        <f t="shared" si="130"/>
        <v>0</v>
      </c>
      <c r="V16" s="35">
        <f t="shared" si="131"/>
        <v>0</v>
      </c>
      <c r="W16" s="35"/>
      <c r="X16" s="87">
        <f>IF($A16=X$58,X$53-SUM(X$11:X15), 0)</f>
        <v>0</v>
      </c>
      <c r="Y16" s="8" t="str">
        <f t="shared" si="132"/>
        <v xml:space="preserve">   </v>
      </c>
      <c r="Z16" s="87">
        <f>IF($A16&gt;X$58, 0, SUM(X16:X$47)*Y16*X$63/X$64+SUM(X17:X$47)*(X$64-X$63)/X$64*Y16)</f>
        <v>0</v>
      </c>
      <c r="AA16" s="87"/>
      <c r="AB16" s="87">
        <f>IF($A16=AB$58,AB$53-SUM(AB$11:AB15), 0)</f>
        <v>0</v>
      </c>
      <c r="AC16" s="8">
        <f t="shared" si="133"/>
        <v>5.7500000000000002E-2</v>
      </c>
      <c r="AD16" s="87">
        <f>IF($A16&gt;AB$58, 0, SUM(AB16:AB$47)*AC16*AB$63/AB$64+SUM(AB17:AB$47)*(AB$64-AB$63)/AB$64*AC16)</f>
        <v>7187500</v>
      </c>
      <c r="AE16" s="35"/>
      <c r="AF16" s="87">
        <f>IF($A16=AF$58,AF$53-SUM(AF$11:AF15), 0)</f>
        <v>0</v>
      </c>
      <c r="AG16" s="8">
        <f t="shared" si="134"/>
        <v>5.5E-2</v>
      </c>
      <c r="AH16" s="87">
        <f>IF($A16&gt;AF$58, 0, SUM(AF16:AF$47)*AG16*AF$63/AF$64+SUM(AF17:AF$47)*(AF$64-AF$63)/AF$64*AG16)</f>
        <v>550000</v>
      </c>
      <c r="AI16" s="35"/>
      <c r="AJ16" s="87">
        <f>IF($A16=AJ$58,AJ$53-SUM(AJ$11:AJ15), 0)</f>
        <v>0</v>
      </c>
      <c r="AK16" s="77">
        <f t="shared" si="135"/>
        <v>3.8800000000000008E-2</v>
      </c>
      <c r="AL16" s="87">
        <f>IF($A16&gt;AJ$58, 0, SUM(AJ16:AJ$47)*AK16*AJ$63/AJ$64+SUM(AJ17:AJ$47)*(AJ$64-AJ$63)/AJ$64*AK16)</f>
        <v>1940000.0000000005</v>
      </c>
      <c r="AM16" s="35"/>
      <c r="AN16" s="87">
        <f>IF($A16='Debt Service'!AN$58, 'Debt Service'!AN$53-SUM(AN$11:AN15), 0)</f>
        <v>0</v>
      </c>
      <c r="AO16" s="77" t="str">
        <f t="shared" si="136"/>
        <v xml:space="preserve">   </v>
      </c>
      <c r="AP16" s="87">
        <f>IF($A16&gt;'Debt Service'!AN$58, 0, SUM(AN16:AN$47)*AO16*AN$63/AN$64+SUM(AN17:AN$47)*(AN$64-AN$63)/AN$64*AO16)</f>
        <v>0</v>
      </c>
      <c r="AQ16" s="35"/>
      <c r="AR16" s="87">
        <f>IF($A16=AR$58,AR$53-SUM(AR$11:AR15), 0)</f>
        <v>0</v>
      </c>
      <c r="AS16" s="77">
        <f t="shared" si="137"/>
        <v>4.3546000000000001E-2</v>
      </c>
      <c r="AT16" s="87">
        <f>IF($A16&gt;AR$58, 0, SUM(AR16:AR$47)*AS16*AR$63/AR$64+SUM(AR17:AR$47)*(AR$64-AR$63)/AR$64*AS16)</f>
        <v>2177300</v>
      </c>
      <c r="AV16" s="35">
        <f t="shared" si="138"/>
        <v>0</v>
      </c>
      <c r="AW16" s="35">
        <f t="shared" si="139"/>
        <v>4667300</v>
      </c>
      <c r="AX16" s="35"/>
      <c r="AY16" s="87">
        <f>IF($A16=AY$58,AY$53-SUM(AY$11:AY15), 0)</f>
        <v>0</v>
      </c>
      <c r="AZ16" s="8">
        <f t="shared" si="140"/>
        <v>0.05</v>
      </c>
      <c r="BA16" s="87">
        <f>IF($A16&gt;AY$58, 0, SUM(AY16:AY$47)*AZ16*AY$63/AY$64+SUM(AY17:AY$47)*(AY$64-AY$63)/AY$64*AZ16)</f>
        <v>500000</v>
      </c>
      <c r="BB16" s="61"/>
      <c r="BC16" s="87">
        <f>IF($A16=BC$58,BC$53-SUM(BC$11:BC15), 0)</f>
        <v>0</v>
      </c>
      <c r="BD16" s="77">
        <f t="shared" si="141"/>
        <v>4.3646000000000004E-2</v>
      </c>
      <c r="BE16" s="87">
        <f>IF($A16&gt;BC$58, 0, SUM(BC16:BC$47)*BD16*BC$63/BC$64+SUM(BC17:BC$47)*(BC$64-BC$63)/BC$64*BD16)</f>
        <v>1309380.0000000002</v>
      </c>
      <c r="BF16" s="61"/>
      <c r="BG16" s="87">
        <f>IF($A16=BG$58,BG$53-SUM(BG$11:BG15), 0)</f>
        <v>0</v>
      </c>
      <c r="BH16" s="77">
        <f t="shared" si="142"/>
        <v>4.4846000000000004E-2</v>
      </c>
      <c r="BI16" s="87">
        <f>IF($A16&gt;BG$58, 0, SUM(BG16:BG$47)*BH16*BG$63/BG$64+SUM(BG17:BG$47)*(BG$64-BG$63)/BG$64*BH16)</f>
        <v>3363450.0000000005</v>
      </c>
      <c r="BJ16" s="61"/>
      <c r="BK16" s="35">
        <f t="shared" si="167"/>
        <v>0</v>
      </c>
      <c r="BL16" s="35">
        <f t="shared" si="168"/>
        <v>5172830.0000000009</v>
      </c>
      <c r="BM16" s="8"/>
      <c r="BN16" s="87">
        <f>IF($A16=BN$58,BN$53-SUM(BN$11:BN15), 0)</f>
        <v>0</v>
      </c>
      <c r="BO16" s="8" t="str">
        <f t="shared" si="143"/>
        <v xml:space="preserve">   </v>
      </c>
      <c r="BP16" s="87">
        <f>IF($A16&gt;BN$58, 0, SUM(BN16:BN$47)*BO16*BN$63/BN$64+SUM(BN17:BN$47)*(BN$64-BN$63)/BN$64*BO16)</f>
        <v>0</v>
      </c>
      <c r="BQ16" s="77"/>
      <c r="BR16" s="87">
        <f>IF($A16=BR$58,BR$53-SUM(BR$11:BR15), 0)</f>
        <v>0</v>
      </c>
      <c r="BS16" s="77">
        <f t="shared" si="144"/>
        <v>3.8800000000000008E-2</v>
      </c>
      <c r="BT16" s="87">
        <f>IF($A16&gt;BR$58, 0, SUM(BR16:BR$47)*BS16*BR$63/BR$64+SUM(BR17:BR$47)*(BR$64-BR$63)/BR$64*BS16)</f>
        <v>2910000.0000000005</v>
      </c>
      <c r="BU16" s="87"/>
      <c r="BV16" s="35">
        <f t="shared" si="169"/>
        <v>0</v>
      </c>
      <c r="BW16" s="35">
        <f t="shared" si="170"/>
        <v>2910000.0000000005</v>
      </c>
      <c r="BX16" s="87"/>
      <c r="BY16" s="87">
        <f>IF($A16='Debt Service'!BY$58, 'Debt Service'!BY$53-SUM(BY$11:BY15), 0)</f>
        <v>45000000</v>
      </c>
      <c r="BZ16" s="8">
        <f>IF($A16&gt;'Debt Service'!BY$58, "   ",'Debt Service'!BY$54)</f>
        <v>0.02</v>
      </c>
      <c r="CA16" s="87">
        <f t="shared" si="145"/>
        <v>900000</v>
      </c>
      <c r="CB16" s="87"/>
      <c r="CC16" s="87">
        <f>IF($A16='Debt Service'!CC$58, 'Debt Service'!CC$53-SUM(CC$11:CC15), 0)</f>
        <v>0</v>
      </c>
      <c r="CD16" s="77">
        <f t="shared" si="146"/>
        <v>0.05</v>
      </c>
      <c r="CE16" s="87">
        <f>IF(OR($A16&gt;'Debt Service'!CC$58, $A16&lt;CC$51), 0, SUM(CC16:CC$47)*CD16*CC$63/CC$64+SUM(CC17:CC$47)*(CC$64-CC$63)/CC$64*CD16)</f>
        <v>250000</v>
      </c>
      <c r="CF16" s="87"/>
      <c r="CG16" s="87">
        <f>IF($A16=CG$58,CG$53-SUM(CG$11:CG15), 0)</f>
        <v>0</v>
      </c>
      <c r="CH16" s="77">
        <f t="shared" si="147"/>
        <v>3.9000000000000007E-2</v>
      </c>
      <c r="CI16" s="87">
        <f>IF($A16&gt;CG$58, 0, SUM(CG16:CG$47)*CH16*CG$63/CG$64+SUM(CG17:CG$47)*(CG$64-CG$63)/CG$64*CH16)</f>
        <v>2925000.0000000005</v>
      </c>
      <c r="CJ16" s="87"/>
      <c r="CK16" s="87">
        <f>IF($A16=CK$58,CK$53-SUM(CK$11:CK15), 0)</f>
        <v>0</v>
      </c>
      <c r="CL16" s="77">
        <f t="shared" si="148"/>
        <v>4.0410000000000001E-2</v>
      </c>
      <c r="CM16" s="87">
        <f>IF($A16&gt;CK$58, 0, SUM(CK16:CK$47)*CL16*CK$63/CK$64+SUM(CK17:CK$47)*(CK$64-CK$63)/CK$64*CL16)</f>
        <v>3030750</v>
      </c>
      <c r="CN16" s="87"/>
      <c r="CO16" s="162">
        <f t="shared" si="149"/>
        <v>0</v>
      </c>
      <c r="CP16" s="87">
        <f t="shared" si="150"/>
        <v>6205750</v>
      </c>
      <c r="CQ16" s="87"/>
      <c r="CR16" s="87">
        <f>IF($A16='Debt Service'!CR$58, 'Debt Service'!CR$53-SUM(CR$11:CR15), 0)</f>
        <v>22000000</v>
      </c>
      <c r="CS16" s="77">
        <f t="shared" si="151"/>
        <v>4.0909090909090909E-2</v>
      </c>
      <c r="CT16" s="87">
        <f>IF($A16&gt;'Debt Service'!CR$58, 0, SUM(CR16:CR$47)*CS16*CR$63/CR$64+SUM(CR17:CR$47)*(CR$64-CR$63)/CR$64*CS16)</f>
        <v>450000</v>
      </c>
      <c r="CU16" s="87"/>
      <c r="CV16" s="87">
        <f>IF($A16=CV$58,CV$53-SUM(CV$11:CV15), 0)</f>
        <v>0</v>
      </c>
      <c r="CW16" s="77">
        <f t="shared" si="152"/>
        <v>3.8800000000000008E-2</v>
      </c>
      <c r="CX16" s="87">
        <f>IF($A16&gt;CV$58, 0, SUM(CV16:CV$47)*CW16*CV$63/CV$64+SUM(CV17:CV$47)*(CV$64-CV$63)/CV$64*CW16)</f>
        <v>2910000.0000000005</v>
      </c>
      <c r="CY16" s="87"/>
      <c r="CZ16" s="165">
        <f t="shared" si="153"/>
        <v>22000000</v>
      </c>
      <c r="DA16" s="165">
        <f t="shared" si="154"/>
        <v>3360000.0000000005</v>
      </c>
      <c r="DB16" s="165"/>
      <c r="DC16" s="87">
        <f t="shared" si="155"/>
        <v>0</v>
      </c>
      <c r="DD16" s="77" t="str">
        <f t="shared" si="156"/>
        <v>---</v>
      </c>
      <c r="DE16" s="87">
        <f t="shared" si="157"/>
        <v>2820600</v>
      </c>
      <c r="DF16" s="165"/>
      <c r="DG16" s="87">
        <f>IF($A16=DG$58,DG$53-SUM(DG$11:DG15), 0)</f>
        <v>0</v>
      </c>
      <c r="DH16" s="77" t="str">
        <f t="shared" si="158"/>
        <v xml:space="preserve">   </v>
      </c>
      <c r="DI16" s="87">
        <f>IF(OR($A16&gt;DG$58,$A16&lt;DG$51), 0, SUM(DG16:DG$47)*DH16*DG$63/DG$64+SUM(DG17:DG$47)*(DG$64-DG$63)/DG$64*DH16)</f>
        <v>0</v>
      </c>
      <c r="DJ16" s="87"/>
      <c r="DK16" s="87">
        <f>IF($A16=DK$58,DK$53-SUM(DK$11:DK15), 0)</f>
        <v>0</v>
      </c>
      <c r="DL16" s="77" t="str">
        <f t="shared" si="159"/>
        <v xml:space="preserve">   </v>
      </c>
      <c r="DM16" s="87">
        <f>IF(OR($A16&gt;DK$58,$A16&lt;DK$51), 0, SUM(DK16:DK$47)*DL16*DK$63/DK$64+SUM(DK17:DK$47)*(DK$64-DK$63)/DK$64*DL16)</f>
        <v>0</v>
      </c>
      <c r="DN16" s="87"/>
      <c r="DO16" s="87">
        <f>IF($A16=DO$58,DO$53-SUM(DO$11:DO15), 0)</f>
        <v>0</v>
      </c>
      <c r="DP16" s="77" t="str">
        <f t="shared" si="160"/>
        <v xml:space="preserve">   </v>
      </c>
      <c r="DQ16" s="87">
        <f>IF(OR($A16&gt;DO$58,$A16&lt;DO$51), 0, SUM(DO16:DO$47)*DP16*DO$63/DO$64+SUM(DO17:DO$47)*(DO$64-DO$63)/DO$64*DP16)</f>
        <v>0</v>
      </c>
      <c r="DR16" s="165"/>
      <c r="DS16" s="87">
        <f>IF($A16=DS$58,DS$53-SUM(DS$11:DS15), 0)</f>
        <v>0</v>
      </c>
      <c r="DT16" s="77" t="str">
        <f t="shared" si="161"/>
        <v xml:space="preserve">   </v>
      </c>
      <c r="DU16" s="87">
        <f>IF(OR($A16&gt;DS$58,$A16&lt;DS$51), 0, SUM(DS16:DS$47)*DT16*DS$63/DS$64+SUM(DS17:DS$47)*(DS$64-DS$63)/DS$64*DT16)</f>
        <v>0</v>
      </c>
      <c r="DV16" s="165"/>
      <c r="DW16" s="165">
        <f t="shared" si="171"/>
        <v>67000000</v>
      </c>
      <c r="DX16" s="165">
        <f t="shared" si="172"/>
        <v>26036480</v>
      </c>
      <c r="DY16" s="87"/>
      <c r="DZ16" s="53">
        <f t="shared" si="162"/>
        <v>2029</v>
      </c>
      <c r="EA16" s="35">
        <f t="shared" si="163"/>
        <v>67000000</v>
      </c>
      <c r="EB16" s="35">
        <f t="shared" si="164"/>
        <v>33223980</v>
      </c>
      <c r="EC16" s="35">
        <f t="shared" si="165"/>
        <v>100223980</v>
      </c>
      <c r="ED16" s="171">
        <f t="shared" si="173"/>
        <v>6</v>
      </c>
      <c r="EE16" s="61">
        <f>EA$53-SUM(EA$10:EA16)</f>
        <v>796030000</v>
      </c>
    </row>
    <row r="17" spans="1:135" s="33" customFormat="1" outlineLevel="1">
      <c r="A17" s="7">
        <f t="shared" si="166"/>
        <v>2030</v>
      </c>
      <c r="B17" s="151">
        <f>Assumptions!B14</f>
        <v>5.3800000000000001E-2</v>
      </c>
      <c r="C17" s="151">
        <f>Assumptions!C14</f>
        <v>5.3800000000000001E-2</v>
      </c>
      <c r="D17" s="151">
        <f>Assumptions!D14</f>
        <v>3.5000000000000003E-2</v>
      </c>
      <c r="E17" s="151">
        <f>Assumptions!E14</f>
        <v>5.2999999999999999E-2</v>
      </c>
      <c r="F17" s="151">
        <f>Assumptions!F14</f>
        <v>0</v>
      </c>
      <c r="G17" s="151">
        <f>Assumptions!G14</f>
        <v>3.0000000000000001E-3</v>
      </c>
      <c r="H17" s="151">
        <f>Assumptions!H14</f>
        <v>8.0000000000000004E-4</v>
      </c>
      <c r="I17" s="151"/>
      <c r="J17" s="151"/>
      <c r="K17" s="151"/>
      <c r="L17" s="8"/>
      <c r="M17" s="87">
        <f>IF($A17=M$58,M$53-SUM(M$11:M16), 0)</f>
        <v>0</v>
      </c>
      <c r="N17" s="8" t="str">
        <f t="shared" si="128"/>
        <v xml:space="preserve">   </v>
      </c>
      <c r="O17" s="87">
        <f>IF($A17&gt;M$58, 0, SUM(M17:M$47)*N17*M$63/M$64+SUM(M18:M$47)*(M$64-M$63)/M$64*N17)</f>
        <v>0</v>
      </c>
      <c r="P17" s="35"/>
      <c r="Q17" s="87">
        <f>IF($A17=Q$58,Q$53-SUM(Q$11:Q16), 0)</f>
        <v>0</v>
      </c>
      <c r="R17" s="8" t="str">
        <f t="shared" si="129"/>
        <v xml:space="preserve">   </v>
      </c>
      <c r="S17" s="87">
        <f>IF($A17&gt;Q$58, 0, SUM(Q17:Q$47)*R17*Q$63/Q$64+SUM(Q18:Q$47)*(Q$64-Q$63)/Q$64*R17)</f>
        <v>0</v>
      </c>
      <c r="T17" s="35"/>
      <c r="U17" s="35">
        <f t="shared" si="130"/>
        <v>0</v>
      </c>
      <c r="V17" s="35">
        <f t="shared" si="131"/>
        <v>0</v>
      </c>
      <c r="W17" s="35"/>
      <c r="X17" s="87">
        <f>IF($A17=X$58,X$53-SUM(X$11:X16), 0)</f>
        <v>0</v>
      </c>
      <c r="Y17" s="8" t="str">
        <f t="shared" si="132"/>
        <v xml:space="preserve">   </v>
      </c>
      <c r="Z17" s="87">
        <f>IF($A17&gt;X$58, 0, SUM(X17:X$47)*Y17*X$63/X$64+SUM(X18:X$47)*(X$64-X$63)/X$64*Y17)</f>
        <v>0</v>
      </c>
      <c r="AA17" s="87"/>
      <c r="AB17" s="87">
        <f>IF($A17=AB$58,AB$53-SUM(AB$11:AB16), 0)</f>
        <v>0</v>
      </c>
      <c r="AC17" s="8">
        <f t="shared" si="133"/>
        <v>5.7500000000000002E-2</v>
      </c>
      <c r="AD17" s="87">
        <f>IF($A17&gt;AB$58, 0, SUM(AB17:AB$47)*AC17*AB$63/AB$64+SUM(AB18:AB$47)*(AB$64-AB$63)/AB$64*AC17)</f>
        <v>7187500</v>
      </c>
      <c r="AE17" s="35"/>
      <c r="AF17" s="87">
        <f>IF($A17=AF$58,AF$53-SUM(AF$11:AF16), 0)</f>
        <v>0</v>
      </c>
      <c r="AG17" s="8">
        <f t="shared" si="134"/>
        <v>5.5E-2</v>
      </c>
      <c r="AH17" s="87">
        <f>IF($A17&gt;AF$58, 0, SUM(AF17:AF$47)*AG17*AF$63/AF$64+SUM(AF18:AF$47)*(AF$64-AF$63)/AF$64*AG17)</f>
        <v>550000</v>
      </c>
      <c r="AI17" s="35"/>
      <c r="AJ17" s="87">
        <f>IF($A17=AJ$58,AJ$53-SUM(AJ$11:AJ16), 0)</f>
        <v>0</v>
      </c>
      <c r="AK17" s="77">
        <f t="shared" si="135"/>
        <v>3.8800000000000008E-2</v>
      </c>
      <c r="AL17" s="87">
        <f>IF($A17&gt;AJ$58, 0, SUM(AJ17:AJ$47)*AK17*AJ$63/AJ$64+SUM(AJ18:AJ$47)*(AJ$64-AJ$63)/AJ$64*AK17)</f>
        <v>1940000.0000000005</v>
      </c>
      <c r="AM17" s="35"/>
      <c r="AN17" s="87">
        <f>IF($A17='Debt Service'!AN$58, 'Debt Service'!AN$53-SUM(AN$11:AN16), 0)</f>
        <v>0</v>
      </c>
      <c r="AO17" s="77" t="str">
        <f t="shared" si="136"/>
        <v xml:space="preserve">   </v>
      </c>
      <c r="AP17" s="87">
        <f>IF($A17&gt;'Debt Service'!AN$58, 0, SUM(AN17:AN$47)*AO17*AN$63/AN$64+SUM(AN18:AN$47)*(AN$64-AN$63)/AN$64*AO17)</f>
        <v>0</v>
      </c>
      <c r="AQ17" s="35"/>
      <c r="AR17" s="87">
        <f>IF($A17=AR$58,AR$53-SUM(AR$11:AR16), 0)</f>
        <v>0</v>
      </c>
      <c r="AS17" s="77">
        <f t="shared" si="137"/>
        <v>4.3546000000000001E-2</v>
      </c>
      <c r="AT17" s="87">
        <f>IF($A17&gt;AR$58, 0, SUM(AR17:AR$47)*AS17*AR$63/AR$64+SUM(AR18:AR$47)*(AR$64-AR$63)/AR$64*AS17)</f>
        <v>2177300</v>
      </c>
      <c r="AV17" s="35">
        <f t="shared" si="138"/>
        <v>0</v>
      </c>
      <c r="AW17" s="35">
        <f t="shared" si="139"/>
        <v>4667300</v>
      </c>
      <c r="AX17" s="35"/>
      <c r="AY17" s="87">
        <f>IF($A17=AY$58,AY$53-SUM(AY$11:AY16), 0)</f>
        <v>0</v>
      </c>
      <c r="AZ17" s="8">
        <f t="shared" si="140"/>
        <v>0.05</v>
      </c>
      <c r="BA17" s="87">
        <f>IF($A17&gt;AY$58, 0, SUM(AY17:AY$47)*AZ17*AY$63/AY$64+SUM(AY18:AY$47)*(AY$64-AY$63)/AY$64*AZ17)</f>
        <v>500000</v>
      </c>
      <c r="BB17" s="61"/>
      <c r="BC17" s="87">
        <f>IF($A17=BC$58,BC$53-SUM(BC$11:BC16), 0)</f>
        <v>0</v>
      </c>
      <c r="BD17" s="77">
        <f t="shared" si="141"/>
        <v>4.3646000000000004E-2</v>
      </c>
      <c r="BE17" s="87">
        <f>IF($A17&gt;BC$58, 0, SUM(BC17:BC$47)*BD17*BC$63/BC$64+SUM(BC18:BC$47)*(BC$64-BC$63)/BC$64*BD17)</f>
        <v>1309380.0000000002</v>
      </c>
      <c r="BF17" s="61"/>
      <c r="BG17" s="87">
        <f>IF($A17=BG$58,BG$53-SUM(BG$11:BG16), 0)</f>
        <v>0</v>
      </c>
      <c r="BH17" s="77">
        <f t="shared" si="142"/>
        <v>4.4846000000000004E-2</v>
      </c>
      <c r="BI17" s="87">
        <f>IF($A17&gt;BG$58, 0, SUM(BG17:BG$47)*BH17*BG$63/BG$64+SUM(BG18:BG$47)*(BG$64-BG$63)/BG$64*BH17)</f>
        <v>3363450.0000000005</v>
      </c>
      <c r="BJ17" s="61"/>
      <c r="BK17" s="35">
        <f t="shared" si="167"/>
        <v>0</v>
      </c>
      <c r="BL17" s="35">
        <f t="shared" si="168"/>
        <v>5172830.0000000009</v>
      </c>
      <c r="BM17" s="8"/>
      <c r="BN17" s="87">
        <f>IF($A17=BN$58,BN$53-SUM(BN$11:BN16), 0)</f>
        <v>0</v>
      </c>
      <c r="BO17" s="8" t="str">
        <f t="shared" si="143"/>
        <v xml:space="preserve">   </v>
      </c>
      <c r="BP17" s="87">
        <f>IF($A17&gt;BN$58, 0, SUM(BN17:BN$47)*BO17*BN$63/BN$64+SUM(BN18:BN$47)*(BN$64-BN$63)/BN$64*BO17)</f>
        <v>0</v>
      </c>
      <c r="BQ17" s="77"/>
      <c r="BR17" s="87">
        <f>IF($A17=BR$58,BR$53-SUM(BR$11:BR16), 0)</f>
        <v>0</v>
      </c>
      <c r="BS17" s="77">
        <f t="shared" si="144"/>
        <v>3.8800000000000008E-2</v>
      </c>
      <c r="BT17" s="87">
        <f>IF($A17&gt;BR$58, 0, SUM(BR17:BR$47)*BS17*BR$63/BR$64+SUM(BR18:BR$47)*(BR$64-BR$63)/BR$64*BS17)</f>
        <v>2910000.0000000005</v>
      </c>
      <c r="BU17" s="87"/>
      <c r="BV17" s="35">
        <f t="shared" si="169"/>
        <v>0</v>
      </c>
      <c r="BW17" s="35">
        <f t="shared" si="170"/>
        <v>2910000.0000000005</v>
      </c>
      <c r="BX17" s="87"/>
      <c r="BY17" s="87">
        <f>IF($A17='Debt Service'!BY$58, 'Debt Service'!BY$53-SUM(BY$11:BY16), 0)</f>
        <v>0</v>
      </c>
      <c r="BZ17" s="8" t="str">
        <f>IF($A17&gt;'Debt Service'!BY$58, "   ",'Debt Service'!BY$54)</f>
        <v xml:space="preserve">   </v>
      </c>
      <c r="CA17" s="87">
        <f t="shared" si="145"/>
        <v>0</v>
      </c>
      <c r="CB17" s="87"/>
      <c r="CC17" s="87">
        <f>IF($A17='Debt Service'!CC$58, 'Debt Service'!CC$53-SUM(CC$11:CC16), 0)</f>
        <v>5000000</v>
      </c>
      <c r="CD17" s="77">
        <f t="shared" si="146"/>
        <v>0.05</v>
      </c>
      <c r="CE17" s="87">
        <f>IF(OR($A17&gt;'Debt Service'!CC$58, $A17&lt;CC$51), 0, SUM(CC17:CC$47)*CD17*CC$63/CC$64+SUM(CC18:CC$47)*(CC$64-CC$63)/CC$64*CD17)</f>
        <v>125000</v>
      </c>
      <c r="CF17" s="87"/>
      <c r="CG17" s="87">
        <f>IF($A17=CG$58,CG$53-SUM(CG$11:CG16), 0)</f>
        <v>0</v>
      </c>
      <c r="CH17" s="77">
        <f t="shared" si="147"/>
        <v>3.9000000000000007E-2</v>
      </c>
      <c r="CI17" s="87">
        <f>IF($A17&gt;CG$58, 0, SUM(CG17:CG$47)*CH17*CG$63/CG$64+SUM(CG18:CG$47)*(CG$64-CG$63)/CG$64*CH17)</f>
        <v>2925000.0000000005</v>
      </c>
      <c r="CJ17" s="87"/>
      <c r="CK17" s="87">
        <f>IF($A17=CK$58,CK$53-SUM(CK$11:CK16), 0)</f>
        <v>0</v>
      </c>
      <c r="CL17" s="77">
        <f t="shared" si="148"/>
        <v>4.0410000000000001E-2</v>
      </c>
      <c r="CM17" s="87">
        <f>IF($A17&gt;CK$58, 0, SUM(CK17:CK$47)*CL17*CK$63/CK$64+SUM(CK18:CK$47)*(CK$64-CK$63)/CK$64*CL17)</f>
        <v>3030750</v>
      </c>
      <c r="CN17" s="87"/>
      <c r="CO17" s="162">
        <f t="shared" si="149"/>
        <v>5000000</v>
      </c>
      <c r="CP17" s="87">
        <f t="shared" si="150"/>
        <v>6080750</v>
      </c>
      <c r="CQ17" s="87"/>
      <c r="CR17" s="87">
        <f>IF($A17='Debt Service'!CR$58, 'Debt Service'!CR$53-SUM(CR$11:CR16), 0)</f>
        <v>0</v>
      </c>
      <c r="CS17" s="77" t="str">
        <f t="shared" si="151"/>
        <v xml:space="preserve">   </v>
      </c>
      <c r="CT17" s="87">
        <f>IF($A17&gt;'Debt Service'!CR$58, 0, SUM(CR17:CR$47)*CS17*CR$63/CR$64+SUM(CR18:CR$47)*(CR$64-CR$63)/CR$64*CS17)</f>
        <v>0</v>
      </c>
      <c r="CU17" s="87"/>
      <c r="CV17" s="87">
        <f>IF($A17=CV$58,CV$53-SUM(CV$11:CV16), 0)</f>
        <v>0</v>
      </c>
      <c r="CW17" s="77">
        <f t="shared" si="152"/>
        <v>3.8800000000000008E-2</v>
      </c>
      <c r="CX17" s="87">
        <f>IF($A17&gt;CV$58, 0, SUM(CV17:CV$47)*CW17*CV$63/CV$64+SUM(CV18:CV$47)*(CV$64-CV$63)/CV$64*CW17)</f>
        <v>2910000.0000000005</v>
      </c>
      <c r="CY17" s="87"/>
      <c r="CZ17" s="165">
        <f t="shared" si="153"/>
        <v>0</v>
      </c>
      <c r="DA17" s="165">
        <f t="shared" si="154"/>
        <v>2910000.0000000005</v>
      </c>
      <c r="DB17" s="165"/>
      <c r="DC17" s="87">
        <f t="shared" si="155"/>
        <v>0</v>
      </c>
      <c r="DD17" s="77" t="str">
        <f t="shared" si="156"/>
        <v>---</v>
      </c>
      <c r="DE17" s="87">
        <f t="shared" si="157"/>
        <v>2820600</v>
      </c>
      <c r="DF17" s="165"/>
      <c r="DG17" s="87">
        <f>IF($A17=DG$58,DG$53-SUM(DG$11:DG16), 0)</f>
        <v>0</v>
      </c>
      <c r="DH17" s="77" t="str">
        <f t="shared" si="158"/>
        <v xml:space="preserve">   </v>
      </c>
      <c r="DI17" s="87">
        <f>IF(OR($A17&gt;DG$58,$A17&lt;DG$51), 0, SUM(DG17:DG$47)*DH17*DG$63/DG$64+SUM(DG18:DG$47)*(DG$64-DG$63)/DG$64*DH17)</f>
        <v>0</v>
      </c>
      <c r="DJ17" s="87"/>
      <c r="DK17" s="87">
        <f>IF($A17=DK$58,DK$53-SUM(DK$11:DK16), 0)</f>
        <v>0</v>
      </c>
      <c r="DL17" s="77" t="str">
        <f t="shared" si="159"/>
        <v xml:space="preserve">   </v>
      </c>
      <c r="DM17" s="87">
        <f>IF(OR($A17&gt;DK$58,$A17&lt;DK$51), 0, SUM(DK17:DK$47)*DL17*DK$63/DK$64+SUM(DK18:DK$47)*(DK$64-DK$63)/DK$64*DL17)</f>
        <v>0</v>
      </c>
      <c r="DN17" s="87"/>
      <c r="DO17" s="87">
        <f>IF($A17=DO$58,DO$53-SUM(DO$11:DO16), 0)</f>
        <v>0</v>
      </c>
      <c r="DP17" s="77" t="str">
        <f t="shared" si="160"/>
        <v xml:space="preserve">   </v>
      </c>
      <c r="DQ17" s="87">
        <f>IF(OR($A17&gt;DO$58,$A17&lt;DO$51), 0, SUM(DO17:DO$47)*DP17*DO$63/DO$64+SUM(DO18:DO$47)*(DO$64-DO$63)/DO$64*DP17)</f>
        <v>0</v>
      </c>
      <c r="DR17" s="165"/>
      <c r="DS17" s="87">
        <f>IF($A17=DS$58,DS$53-SUM(DS$11:DS16), 0)</f>
        <v>0</v>
      </c>
      <c r="DT17" s="77" t="str">
        <f t="shared" si="161"/>
        <v xml:space="preserve">   </v>
      </c>
      <c r="DU17" s="87">
        <f>IF(OR($A17&gt;DS$58,$A17&lt;DS$51), 0, SUM(DS17:DS$47)*DT17*DS$63/DS$64+SUM(DS18:DS$47)*(DS$64-DS$63)/DS$64*DT17)</f>
        <v>0</v>
      </c>
      <c r="DV17" s="165"/>
      <c r="DW17" s="165">
        <f t="shared" si="171"/>
        <v>5000000</v>
      </c>
      <c r="DX17" s="165">
        <f t="shared" si="172"/>
        <v>24561480</v>
      </c>
      <c r="DY17" s="87"/>
      <c r="DZ17" s="53">
        <f t="shared" si="162"/>
        <v>2030</v>
      </c>
      <c r="EA17" s="35">
        <f t="shared" si="163"/>
        <v>5000000</v>
      </c>
      <c r="EB17" s="35">
        <f t="shared" si="164"/>
        <v>31748980</v>
      </c>
      <c r="EC17" s="35">
        <f t="shared" si="165"/>
        <v>36748980</v>
      </c>
      <c r="ED17" s="171">
        <f t="shared" si="173"/>
        <v>7</v>
      </c>
      <c r="EE17" s="61">
        <f>EA$53-SUM(EA$10:EA17)</f>
        <v>791030000</v>
      </c>
    </row>
    <row r="18" spans="1:135" s="33" customFormat="1" outlineLevel="1">
      <c r="A18" s="7">
        <f t="shared" si="166"/>
        <v>2031</v>
      </c>
      <c r="B18" s="151">
        <f>Assumptions!B15</f>
        <v>5.3800000000000001E-2</v>
      </c>
      <c r="C18" s="151">
        <f>Assumptions!C15</f>
        <v>5.3800000000000001E-2</v>
      </c>
      <c r="D18" s="151">
        <f>Assumptions!D15</f>
        <v>3.5000000000000003E-2</v>
      </c>
      <c r="E18" s="151">
        <f>Assumptions!E15</f>
        <v>5.2999999999999999E-2</v>
      </c>
      <c r="F18" s="151">
        <f>Assumptions!F15</f>
        <v>0</v>
      </c>
      <c r="G18" s="151">
        <f>Assumptions!G15</f>
        <v>3.0000000000000001E-3</v>
      </c>
      <c r="H18" s="151">
        <f>Assumptions!H15</f>
        <v>8.0000000000000004E-4</v>
      </c>
      <c r="I18" s="151"/>
      <c r="J18" s="151"/>
      <c r="K18" s="151"/>
      <c r="L18" s="8"/>
      <c r="M18" s="87">
        <f>IF($A18=M$58,M$53-SUM(M$11:M17), 0)</f>
        <v>0</v>
      </c>
      <c r="N18" s="8" t="str">
        <f t="shared" si="128"/>
        <v xml:space="preserve">   </v>
      </c>
      <c r="O18" s="87">
        <f>IF($A18&gt;M$58, 0, SUM(M18:M$47)*N18*M$63/M$64+SUM(M19:M$47)*(M$64-M$63)/M$64*N18)</f>
        <v>0</v>
      </c>
      <c r="P18" s="35"/>
      <c r="Q18" s="87">
        <f>IF($A18=Q$58,Q$53-SUM(Q$11:Q17), 0)</f>
        <v>0</v>
      </c>
      <c r="R18" s="8" t="str">
        <f t="shared" si="129"/>
        <v xml:space="preserve">   </v>
      </c>
      <c r="S18" s="87">
        <f>IF($A18&gt;Q$58, 0, SUM(Q18:Q$47)*R18*Q$63/Q$64+SUM(Q19:Q$47)*(Q$64-Q$63)/Q$64*R18)</f>
        <v>0</v>
      </c>
      <c r="T18" s="35"/>
      <c r="U18" s="35">
        <f t="shared" si="130"/>
        <v>0</v>
      </c>
      <c r="V18" s="35">
        <f t="shared" si="131"/>
        <v>0</v>
      </c>
      <c r="W18" s="35"/>
      <c r="X18" s="87">
        <f>IF($A18=X$58,X$53-SUM(X$11:X17), 0)</f>
        <v>0</v>
      </c>
      <c r="Y18" s="8" t="str">
        <f t="shared" si="132"/>
        <v xml:space="preserve">   </v>
      </c>
      <c r="Z18" s="87">
        <f>IF($A18&gt;X$58, 0, SUM(X18:X$47)*Y18*X$63/X$64+SUM(X19:X$47)*(X$64-X$63)/X$64*Y18)</f>
        <v>0</v>
      </c>
      <c r="AA18" s="87"/>
      <c r="AB18" s="87">
        <f>IF($A18=AB$58,AB$53-SUM(AB$11:AB17), 0)</f>
        <v>0</v>
      </c>
      <c r="AC18" s="8">
        <f t="shared" si="133"/>
        <v>5.7500000000000002E-2</v>
      </c>
      <c r="AD18" s="87">
        <f>IF($A18&gt;AB$58, 0, SUM(AB18:AB$47)*AC18*AB$63/AB$64+SUM(AB19:AB$47)*(AB$64-AB$63)/AB$64*AC18)</f>
        <v>7187500</v>
      </c>
      <c r="AE18" s="35"/>
      <c r="AF18" s="87">
        <f>IF($A18=AF$58,AF$53-SUM(AF$11:AF17), 0)</f>
        <v>0</v>
      </c>
      <c r="AG18" s="8">
        <f t="shared" si="134"/>
        <v>5.5E-2</v>
      </c>
      <c r="AH18" s="87">
        <f>IF($A18&gt;AF$58, 0, SUM(AF18:AF$47)*AG18*AF$63/AF$64+SUM(AF19:AF$47)*(AF$64-AF$63)/AF$64*AG18)</f>
        <v>550000</v>
      </c>
      <c r="AI18" s="35"/>
      <c r="AJ18" s="87">
        <f>IF($A18=AJ$58,AJ$53-SUM(AJ$11:AJ17), 0)</f>
        <v>0</v>
      </c>
      <c r="AK18" s="77">
        <f t="shared" si="135"/>
        <v>3.8800000000000008E-2</v>
      </c>
      <c r="AL18" s="87">
        <f>IF($A18&gt;AJ$58, 0, SUM(AJ18:AJ$47)*AK18*AJ$63/AJ$64+SUM(AJ19:AJ$47)*(AJ$64-AJ$63)/AJ$64*AK18)</f>
        <v>1940000.0000000005</v>
      </c>
      <c r="AM18" s="35"/>
      <c r="AN18" s="87">
        <f>IF($A18='Debt Service'!AN$58, 'Debt Service'!AN$53-SUM(AN$11:AN17), 0)</f>
        <v>0</v>
      </c>
      <c r="AO18" s="77" t="str">
        <f t="shared" si="136"/>
        <v xml:space="preserve">   </v>
      </c>
      <c r="AP18" s="87">
        <f>IF($A18&gt;'Debt Service'!AN$58, 0, SUM(AN18:AN$47)*AO18*AN$63/AN$64+SUM(AN19:AN$47)*(AN$64-AN$63)/AN$64*AO18)</f>
        <v>0</v>
      </c>
      <c r="AQ18" s="35"/>
      <c r="AR18" s="87">
        <f>IF($A18=AR$58,AR$53-SUM(AR$11:AR17), 0)</f>
        <v>0</v>
      </c>
      <c r="AS18" s="77">
        <f t="shared" si="137"/>
        <v>4.3546000000000001E-2</v>
      </c>
      <c r="AT18" s="87">
        <f>IF($A18&gt;AR$58, 0, SUM(AR18:AR$47)*AS18*AR$63/AR$64+SUM(AR19:AR$47)*(AR$64-AR$63)/AR$64*AS18)</f>
        <v>2177300</v>
      </c>
      <c r="AV18" s="35">
        <f t="shared" si="138"/>
        <v>0</v>
      </c>
      <c r="AW18" s="35">
        <f t="shared" si="139"/>
        <v>4667300</v>
      </c>
      <c r="AX18" s="35"/>
      <c r="AY18" s="87">
        <f>IF($A18=AY$58,AY$53-SUM(AY$11:AY17), 0)</f>
        <v>0</v>
      </c>
      <c r="AZ18" s="8">
        <f t="shared" si="140"/>
        <v>0.05</v>
      </c>
      <c r="BA18" s="87">
        <f>IF($A18&gt;AY$58, 0, SUM(AY18:AY$47)*AZ18*AY$63/AY$64+SUM(AY19:AY$47)*(AY$64-AY$63)/AY$64*AZ18)</f>
        <v>500000</v>
      </c>
      <c r="BB18" s="61"/>
      <c r="BC18" s="87">
        <f>IF($A18=BC$58,BC$53-SUM(BC$11:BC17), 0)</f>
        <v>0</v>
      </c>
      <c r="BD18" s="77">
        <f t="shared" si="141"/>
        <v>4.3646000000000004E-2</v>
      </c>
      <c r="BE18" s="87">
        <f>IF($A18&gt;BC$58, 0, SUM(BC18:BC$47)*BD18*BC$63/BC$64+SUM(BC19:BC$47)*(BC$64-BC$63)/BC$64*BD18)</f>
        <v>1309380.0000000002</v>
      </c>
      <c r="BF18" s="61"/>
      <c r="BG18" s="87">
        <f>IF($A18=BG$58,BG$53-SUM(BG$11:BG17), 0)</f>
        <v>0</v>
      </c>
      <c r="BH18" s="77">
        <f t="shared" si="142"/>
        <v>4.4846000000000004E-2</v>
      </c>
      <c r="BI18" s="87">
        <f>IF($A18&gt;BG$58, 0, SUM(BG18:BG$47)*BH18*BG$63/BG$64+SUM(BG19:BG$47)*(BG$64-BG$63)/BG$64*BH18)</f>
        <v>3363450.0000000005</v>
      </c>
      <c r="BJ18" s="61"/>
      <c r="BK18" s="35">
        <f t="shared" si="167"/>
        <v>0</v>
      </c>
      <c r="BL18" s="35">
        <f t="shared" si="168"/>
        <v>5172830.0000000009</v>
      </c>
      <c r="BM18" s="8"/>
      <c r="BN18" s="87">
        <f>IF($A18=BN$58,BN$53-SUM(BN$11:BN17), 0)</f>
        <v>0</v>
      </c>
      <c r="BO18" s="8" t="str">
        <f t="shared" si="143"/>
        <v xml:space="preserve">   </v>
      </c>
      <c r="BP18" s="87">
        <f>IF($A18&gt;BN$58, 0, SUM(BN18:BN$47)*BO18*BN$63/BN$64+SUM(BN19:BN$47)*(BN$64-BN$63)/BN$64*BO18)</f>
        <v>0</v>
      </c>
      <c r="BQ18" s="77"/>
      <c r="BR18" s="87">
        <f>IF($A18=BR$58,BR$53-SUM(BR$11:BR17), 0)</f>
        <v>0</v>
      </c>
      <c r="BS18" s="77">
        <f t="shared" si="144"/>
        <v>3.8800000000000008E-2</v>
      </c>
      <c r="BT18" s="87">
        <f>IF($A18&gt;BR$58, 0, SUM(BR18:BR$47)*BS18*BR$63/BR$64+SUM(BR19:BR$47)*(BR$64-BR$63)/BR$64*BS18)</f>
        <v>2910000.0000000005</v>
      </c>
      <c r="BU18" s="87"/>
      <c r="BV18" s="35">
        <f t="shared" si="169"/>
        <v>0</v>
      </c>
      <c r="BW18" s="35">
        <f t="shared" si="170"/>
        <v>2910000.0000000005</v>
      </c>
      <c r="BX18" s="87"/>
      <c r="BY18" s="87">
        <f>IF($A18='Debt Service'!BY$58, 'Debt Service'!BY$53-SUM(BY$11:BY17), 0)</f>
        <v>0</v>
      </c>
      <c r="BZ18" s="8" t="str">
        <f>IF($A18&gt;'Debt Service'!BY$58, "   ",'Debt Service'!BY$54)</f>
        <v xml:space="preserve">   </v>
      </c>
      <c r="CA18" s="87">
        <f t="shared" si="145"/>
        <v>0</v>
      </c>
      <c r="CB18" s="87"/>
      <c r="CC18" s="87">
        <f>IF($A18='Debt Service'!CC$58, 'Debt Service'!CC$53-SUM(CC$11:CC17), 0)</f>
        <v>0</v>
      </c>
      <c r="CD18" s="77" t="str">
        <f t="shared" si="146"/>
        <v xml:space="preserve">   </v>
      </c>
      <c r="CE18" s="87">
        <f>IF(OR($A18&gt;'Debt Service'!CC$58, $A18&lt;CC$51), 0, SUM(CC18:CC$47)*CD18*CC$63/CC$64+SUM(CC19:CC$47)*(CC$64-CC$63)/CC$64*CD18)</f>
        <v>0</v>
      </c>
      <c r="CF18" s="87"/>
      <c r="CG18" s="87">
        <f>IF($A18=CG$58,CG$53-SUM(CG$11:CG17), 0)</f>
        <v>0</v>
      </c>
      <c r="CH18" s="77">
        <f t="shared" si="147"/>
        <v>3.9000000000000007E-2</v>
      </c>
      <c r="CI18" s="87">
        <f>IF($A18&gt;CG$58, 0, SUM(CG18:CG$47)*CH18*CG$63/CG$64+SUM(CG19:CG$47)*(CG$64-CG$63)/CG$64*CH18)</f>
        <v>2925000.0000000005</v>
      </c>
      <c r="CJ18" s="87"/>
      <c r="CK18" s="87">
        <f>IF($A18=CK$58,CK$53-SUM(CK$11:CK17), 0)</f>
        <v>0</v>
      </c>
      <c r="CL18" s="77">
        <f t="shared" si="148"/>
        <v>4.0410000000000001E-2</v>
      </c>
      <c r="CM18" s="87">
        <f>IF($A18&gt;CK$58, 0, SUM(CK18:CK$47)*CL18*CK$63/CK$64+SUM(CK19:CK$47)*(CK$64-CK$63)/CK$64*CL18)</f>
        <v>3030750</v>
      </c>
      <c r="CN18" s="87"/>
      <c r="CO18" s="162">
        <f t="shared" si="149"/>
        <v>0</v>
      </c>
      <c r="CP18" s="87">
        <f t="shared" si="150"/>
        <v>5955750</v>
      </c>
      <c r="CQ18" s="87"/>
      <c r="CR18" s="87">
        <f>IF($A18='Debt Service'!CR$58, 'Debt Service'!CR$53-SUM(CR$11:CR17), 0)</f>
        <v>0</v>
      </c>
      <c r="CS18" s="77" t="str">
        <f t="shared" si="151"/>
        <v xml:space="preserve">   </v>
      </c>
      <c r="CT18" s="87">
        <f>IF($A18&gt;'Debt Service'!CR$58, 0, SUM(CR18:CR$47)*CS18*CR$63/CR$64+SUM(CR19:CR$47)*(CR$64-CR$63)/CR$64*CS18)</f>
        <v>0</v>
      </c>
      <c r="CU18" s="87"/>
      <c r="CV18" s="87">
        <f>IF($A18=CV$58,CV$53-SUM(CV$11:CV17), 0)</f>
        <v>0</v>
      </c>
      <c r="CW18" s="77">
        <f t="shared" si="152"/>
        <v>3.8800000000000008E-2</v>
      </c>
      <c r="CX18" s="87">
        <f>IF($A18&gt;CV$58, 0, SUM(CV18:CV$47)*CW18*CV$63/CV$64+SUM(CV19:CV$47)*(CV$64-CV$63)/CV$64*CW18)</f>
        <v>2910000.0000000005</v>
      </c>
      <c r="CY18" s="87"/>
      <c r="CZ18" s="165">
        <f t="shared" si="153"/>
        <v>0</v>
      </c>
      <c r="DA18" s="165">
        <f t="shared" si="154"/>
        <v>2910000.0000000005</v>
      </c>
      <c r="DB18" s="165"/>
      <c r="DC18" s="87">
        <f t="shared" si="155"/>
        <v>0</v>
      </c>
      <c r="DD18" s="77" t="str">
        <f t="shared" si="156"/>
        <v>---</v>
      </c>
      <c r="DE18" s="87">
        <f t="shared" si="157"/>
        <v>2820600</v>
      </c>
      <c r="DF18" s="165"/>
      <c r="DG18" s="87">
        <f>IF($A18=DG$58,DG$53-SUM(DG$11:DG17), 0)</f>
        <v>0</v>
      </c>
      <c r="DH18" s="77" t="str">
        <f t="shared" si="158"/>
        <v xml:space="preserve">   </v>
      </c>
      <c r="DI18" s="87">
        <f>IF(OR($A18&gt;DG$58,$A18&lt;DG$51), 0, SUM(DG18:DG$47)*DH18*DG$63/DG$64+SUM(DG19:DG$47)*(DG$64-DG$63)/DG$64*DH18)</f>
        <v>0</v>
      </c>
      <c r="DJ18" s="87"/>
      <c r="DK18" s="87">
        <f>IF($A18=DK$58,DK$53-SUM(DK$11:DK17), 0)</f>
        <v>0</v>
      </c>
      <c r="DL18" s="77" t="str">
        <f t="shared" si="159"/>
        <v xml:space="preserve">   </v>
      </c>
      <c r="DM18" s="87">
        <f>IF(OR($A18&gt;DK$58,$A18&lt;DK$51), 0, SUM(DK18:DK$47)*DL18*DK$63/DK$64+SUM(DK19:DK$47)*(DK$64-DK$63)/DK$64*DL18)</f>
        <v>0</v>
      </c>
      <c r="DN18" s="87"/>
      <c r="DO18" s="87">
        <f>IF($A18=DO$58,DO$53-SUM(DO$11:DO17), 0)</f>
        <v>0</v>
      </c>
      <c r="DP18" s="77" t="str">
        <f t="shared" si="160"/>
        <v xml:space="preserve">   </v>
      </c>
      <c r="DQ18" s="87">
        <f>IF(OR($A18&gt;DO$58,$A18&lt;DO$51), 0, SUM(DO18:DO$47)*DP18*DO$63/DO$64+SUM(DO19:DO$47)*(DO$64-DO$63)/DO$64*DP18)</f>
        <v>0</v>
      </c>
      <c r="DR18" s="165"/>
      <c r="DS18" s="87">
        <f>IF($A18=DS$58,DS$53-SUM(DS$11:DS17), 0)</f>
        <v>0</v>
      </c>
      <c r="DT18" s="77" t="str">
        <f t="shared" si="161"/>
        <v xml:space="preserve">   </v>
      </c>
      <c r="DU18" s="87">
        <f>IF(OR($A18&gt;DS$58,$A18&lt;DS$51), 0, SUM(DS18:DS$47)*DT18*DS$63/DS$64+SUM(DS19:DS$47)*(DS$64-DS$63)/DS$64*DT18)</f>
        <v>0</v>
      </c>
      <c r="DV18" s="165"/>
      <c r="DW18" s="165">
        <f t="shared" si="171"/>
        <v>0</v>
      </c>
      <c r="DX18" s="165">
        <f t="shared" si="172"/>
        <v>24436480</v>
      </c>
      <c r="DY18" s="87"/>
      <c r="DZ18" s="53">
        <f t="shared" si="162"/>
        <v>2031</v>
      </c>
      <c r="EA18" s="35">
        <f t="shared" si="163"/>
        <v>0</v>
      </c>
      <c r="EB18" s="35">
        <f t="shared" si="164"/>
        <v>31623980</v>
      </c>
      <c r="EC18" s="35">
        <f t="shared" si="165"/>
        <v>31623980</v>
      </c>
      <c r="ED18" s="171">
        <f t="shared" si="173"/>
        <v>8</v>
      </c>
      <c r="EE18" s="61">
        <f>EA$53-SUM(EA$10:EA18)</f>
        <v>791030000</v>
      </c>
    </row>
    <row r="19" spans="1:135" s="33" customFormat="1" outlineLevel="1">
      <c r="A19" s="7">
        <f t="shared" si="166"/>
        <v>2032</v>
      </c>
      <c r="B19" s="151">
        <f>Assumptions!B16</f>
        <v>5.3800000000000001E-2</v>
      </c>
      <c r="C19" s="151">
        <f>Assumptions!C16</f>
        <v>5.3800000000000001E-2</v>
      </c>
      <c r="D19" s="151">
        <f>Assumptions!D16</f>
        <v>3.5000000000000003E-2</v>
      </c>
      <c r="E19" s="151">
        <f>Assumptions!E16</f>
        <v>5.2999999999999999E-2</v>
      </c>
      <c r="F19" s="151">
        <f>Assumptions!F16</f>
        <v>0</v>
      </c>
      <c r="G19" s="151">
        <f>Assumptions!G16</f>
        <v>3.0000000000000001E-3</v>
      </c>
      <c r="H19" s="151">
        <f>Assumptions!H16</f>
        <v>8.0000000000000004E-4</v>
      </c>
      <c r="I19" s="151"/>
      <c r="J19" s="151"/>
      <c r="K19" s="151"/>
      <c r="L19" s="86"/>
      <c r="M19" s="87">
        <f>IF($A19=M$58,M$53-SUM(M$11:M18), 0)</f>
        <v>0</v>
      </c>
      <c r="N19" s="8" t="str">
        <f t="shared" si="128"/>
        <v xml:space="preserve">   </v>
      </c>
      <c r="O19" s="87">
        <f>IF($A19&gt;M$58, 0, SUM(M19:M$47)*N19*M$63/M$64+SUM(M20:M$47)*(M$64-M$63)/M$64*N19)</f>
        <v>0</v>
      </c>
      <c r="P19" s="35"/>
      <c r="Q19" s="87">
        <f>IF($A19=Q$58,Q$53-SUM(Q$11:Q18), 0)</f>
        <v>0</v>
      </c>
      <c r="R19" s="8" t="str">
        <f t="shared" si="129"/>
        <v xml:space="preserve">   </v>
      </c>
      <c r="S19" s="87">
        <f>IF($A19&gt;Q$58, 0, SUM(Q19:Q$47)*R19*Q$63/Q$64+SUM(Q20:Q$47)*(Q$64-Q$63)/Q$64*R19)</f>
        <v>0</v>
      </c>
      <c r="T19" s="35"/>
      <c r="U19" s="35">
        <f t="shared" si="130"/>
        <v>0</v>
      </c>
      <c r="V19" s="35">
        <f t="shared" si="131"/>
        <v>0</v>
      </c>
      <c r="W19" s="87"/>
      <c r="X19" s="87">
        <f>IF($A19=X$58,X$53-SUM(X$11:X18), 0)</f>
        <v>0</v>
      </c>
      <c r="Y19" s="8" t="str">
        <f t="shared" si="132"/>
        <v xml:space="preserve">   </v>
      </c>
      <c r="Z19" s="87">
        <f>IF($A19&gt;X$58, 0, SUM(X19:X$47)*Y19*X$63/X$64+SUM(X20:X$47)*(X$64-X$63)/X$64*Y19)</f>
        <v>0</v>
      </c>
      <c r="AA19" s="87"/>
      <c r="AB19" s="87">
        <f>IF($A19=AB$58,AB$53-SUM(AB$11:AB18), 0)</f>
        <v>125000000</v>
      </c>
      <c r="AC19" s="8">
        <f t="shared" si="133"/>
        <v>5.7500000000000002E-2</v>
      </c>
      <c r="AD19" s="87">
        <f>IF($A19&gt;AB$58, 0, SUM(AB19:AB$47)*AC19*AB$63/AB$64+SUM(AB20:AB$47)*(AB$64-AB$63)/AB$64*AC19)</f>
        <v>7187500</v>
      </c>
      <c r="AE19" s="87"/>
      <c r="AF19" s="87">
        <f>IF($A19=AF$58,AF$53-SUM(AF$11:AF18), 0)</f>
        <v>0</v>
      </c>
      <c r="AG19" s="8">
        <f t="shared" si="134"/>
        <v>5.5E-2</v>
      </c>
      <c r="AH19" s="87">
        <f>IF($A19&gt;AF$58, 0, SUM(AF19:AF$47)*AG19*AF$63/AF$64+SUM(AF20:AF$47)*(AF$64-AF$63)/AF$64*AG19)</f>
        <v>550000</v>
      </c>
      <c r="AI19" s="35"/>
      <c r="AJ19" s="87">
        <f>IF($A19=AJ$58,AJ$53-SUM(AJ$11:AJ18), 0)</f>
        <v>0</v>
      </c>
      <c r="AK19" s="77">
        <f t="shared" si="135"/>
        <v>3.8800000000000008E-2</v>
      </c>
      <c r="AL19" s="87">
        <f>IF($A19&gt;AJ$58, 0, SUM(AJ19:AJ$47)*AK19*AJ$63/AJ$64+SUM(AJ20:AJ$47)*(AJ$64-AJ$63)/AJ$64*AK19)</f>
        <v>1940000.0000000005</v>
      </c>
      <c r="AM19" s="35"/>
      <c r="AN19" s="87">
        <f>IF($A19='Debt Service'!AN$58, 'Debt Service'!AN$53-SUM(AN$11:AN18), 0)</f>
        <v>0</v>
      </c>
      <c r="AO19" s="77" t="str">
        <f t="shared" si="136"/>
        <v xml:space="preserve">   </v>
      </c>
      <c r="AP19" s="87">
        <f>IF($A19&gt;'Debt Service'!AN$58, 0, SUM(AN19:AN$47)*AO19*AN$63/AN$64+SUM(AN20:AN$47)*(AN$64-AN$63)/AN$64*AO19)</f>
        <v>0</v>
      </c>
      <c r="AQ19" s="87"/>
      <c r="AR19" s="87">
        <f>IF($A19=AR$58,AR$53-SUM(AR$11:AR18), 0)</f>
        <v>0</v>
      </c>
      <c r="AS19" s="77">
        <f t="shared" si="137"/>
        <v>4.3546000000000001E-2</v>
      </c>
      <c r="AT19" s="87">
        <f>IF($A19&gt;AR$58, 0, SUM(AR19:AR$47)*AS19*AR$63/AR$64+SUM(AR20:AR$47)*(AR$64-AR$63)/AR$64*AS19)</f>
        <v>2177300</v>
      </c>
      <c r="AV19" s="35">
        <f t="shared" si="138"/>
        <v>0</v>
      </c>
      <c r="AW19" s="35">
        <f t="shared" si="139"/>
        <v>4667300</v>
      </c>
      <c r="AX19" s="87"/>
      <c r="AY19" s="87">
        <f>IF($A19=AY$58,AY$53-SUM(AY$11:AY18), 0)</f>
        <v>0</v>
      </c>
      <c r="AZ19" s="8">
        <f t="shared" si="140"/>
        <v>0.05</v>
      </c>
      <c r="BA19" s="87">
        <f>IF($A19&gt;AY$58, 0, SUM(AY19:AY$47)*AZ19*AY$63/AY$64+SUM(AY20:AY$47)*(AY$64-AY$63)/AY$64*AZ19)</f>
        <v>500000</v>
      </c>
      <c r="BB19" s="61"/>
      <c r="BC19" s="87">
        <f>IF($A19=BC$58,BC$53-SUM(BC$11:BC18), 0)</f>
        <v>0</v>
      </c>
      <c r="BD19" s="77">
        <f t="shared" si="141"/>
        <v>4.3646000000000004E-2</v>
      </c>
      <c r="BE19" s="87">
        <f>IF($A19&gt;BC$58, 0, SUM(BC19:BC$47)*BD19*BC$63/BC$64+SUM(BC20:BC$47)*(BC$64-BC$63)/BC$64*BD19)</f>
        <v>1309380.0000000002</v>
      </c>
      <c r="BF19" s="61"/>
      <c r="BG19" s="87">
        <f>IF($A19=BG$58,BG$53-SUM(BG$11:BG18), 0)</f>
        <v>0</v>
      </c>
      <c r="BH19" s="77">
        <f t="shared" si="142"/>
        <v>4.4846000000000004E-2</v>
      </c>
      <c r="BI19" s="87">
        <f>IF($A19&gt;BG$58, 0, SUM(BG19:BG$47)*BH19*BG$63/BG$64+SUM(BG20:BG$47)*(BG$64-BG$63)/BG$64*BH19)</f>
        <v>3363450.0000000005</v>
      </c>
      <c r="BJ19" s="61"/>
      <c r="BK19" s="35">
        <f t="shared" si="167"/>
        <v>0</v>
      </c>
      <c r="BL19" s="35">
        <f t="shared" si="168"/>
        <v>5172830.0000000009</v>
      </c>
      <c r="BM19" s="86"/>
      <c r="BN19" s="87">
        <f>IF($A19=BN$58,BN$53-SUM(BN$11:BN18), 0)</f>
        <v>0</v>
      </c>
      <c r="BO19" s="8" t="str">
        <f t="shared" si="143"/>
        <v xml:space="preserve">   </v>
      </c>
      <c r="BP19" s="87">
        <f>IF($A19&gt;BN$58, 0, SUM(BN19:BN$47)*BO19*BN$63/BN$64+SUM(BN20:BN$47)*(BN$64-BN$63)/BN$64*BO19)</f>
        <v>0</v>
      </c>
      <c r="BQ19" s="77"/>
      <c r="BR19" s="87">
        <f>IF($A19=BR$58,BR$53-SUM(BR$11:BR18), 0)</f>
        <v>0</v>
      </c>
      <c r="BS19" s="77">
        <f t="shared" si="144"/>
        <v>3.8800000000000008E-2</v>
      </c>
      <c r="BT19" s="87">
        <f>IF($A19&gt;BR$58, 0, SUM(BR19:BR$47)*BS19*BR$63/BR$64+SUM(BR20:BR$47)*(BR$64-BR$63)/BR$64*BS19)</f>
        <v>2910000.0000000005</v>
      </c>
      <c r="BU19" s="87"/>
      <c r="BV19" s="35">
        <f t="shared" si="169"/>
        <v>0</v>
      </c>
      <c r="BW19" s="35">
        <f t="shared" si="170"/>
        <v>2910000.0000000005</v>
      </c>
      <c r="BX19" s="87"/>
      <c r="BY19" s="87">
        <f>IF($A19='Debt Service'!BY$58, 'Debt Service'!BY$53-SUM(BY$11:BY18), 0)</f>
        <v>0</v>
      </c>
      <c r="BZ19" s="8" t="str">
        <f>IF($A19&gt;'Debt Service'!BY$58, "   ",'Debt Service'!BY$54)</f>
        <v xml:space="preserve">   </v>
      </c>
      <c r="CA19" s="87">
        <f>IF(BY19&gt;0, (BY19*BZ19)+CA20, CA20)</f>
        <v>0</v>
      </c>
      <c r="CB19" s="87"/>
      <c r="CC19" s="87">
        <f>IF($A19='Debt Service'!CC$58, 'Debt Service'!CC$53-SUM(CC$11:CC18), 0)</f>
        <v>0</v>
      </c>
      <c r="CD19" s="77" t="str">
        <f t="shared" si="146"/>
        <v xml:space="preserve">   </v>
      </c>
      <c r="CE19" s="87">
        <f>IF(OR($A19&gt;'Debt Service'!CC$58, $A19&lt;CC$51), 0, SUM(CC19:CC$47)*CD19*CC$63/CC$64+SUM(CC20:CC$47)*(CC$64-CC$63)/CC$64*CD19)</f>
        <v>0</v>
      </c>
      <c r="CF19" s="87"/>
      <c r="CG19" s="87">
        <f>IF($A19=CG$58,CG$53-SUM(CG$11:CG18), 0)</f>
        <v>0</v>
      </c>
      <c r="CH19" s="77">
        <f t="shared" si="147"/>
        <v>3.9000000000000007E-2</v>
      </c>
      <c r="CI19" s="87">
        <f>IF($A19&gt;CG$58, 0, SUM(CG19:CG$47)*CH19*CG$63/CG$64+SUM(CG20:CG$47)*(CG$64-CG$63)/CG$64*CH19)</f>
        <v>2925000.0000000005</v>
      </c>
      <c r="CJ19" s="87"/>
      <c r="CK19" s="87">
        <f>IF($A19=CK$58,CK$53-SUM(CK$11:CK18), 0)</f>
        <v>0</v>
      </c>
      <c r="CL19" s="77">
        <f t="shared" si="148"/>
        <v>4.0410000000000001E-2</v>
      </c>
      <c r="CM19" s="87">
        <f>IF($A19&gt;CK$58, 0, SUM(CK19:CK$47)*CL19*CK$63/CK$64+SUM(CK20:CK$47)*(CK$64-CK$63)/CK$64*CL19)</f>
        <v>3030750</v>
      </c>
      <c r="CN19" s="87"/>
      <c r="CO19" s="162">
        <f t="shared" si="149"/>
        <v>0</v>
      </c>
      <c r="CP19" s="87">
        <f t="shared" si="150"/>
        <v>5955750</v>
      </c>
      <c r="CQ19" s="87"/>
      <c r="CR19" s="87">
        <f>IF($A19='Debt Service'!CR$58, 'Debt Service'!CR$53-SUM(CR$11:CR18), 0)</f>
        <v>0</v>
      </c>
      <c r="CS19" s="77" t="str">
        <f t="shared" si="151"/>
        <v xml:space="preserve">   </v>
      </c>
      <c r="CT19" s="87">
        <f>IF($A19&gt;'Debt Service'!CR$58, 0, SUM(CR19:CR$47)*CS19*CR$63/CR$64+SUM(CR20:CR$47)*(CR$64-CR$63)/CR$64*CS19)</f>
        <v>0</v>
      </c>
      <c r="CU19" s="87"/>
      <c r="CV19" s="87">
        <f>IF($A19=CV$58,CV$53-SUM(CV$11:CV18), 0)</f>
        <v>0</v>
      </c>
      <c r="CW19" s="77">
        <f t="shared" si="152"/>
        <v>3.8800000000000008E-2</v>
      </c>
      <c r="CX19" s="87">
        <f>IF($A19&gt;CV$58, 0, SUM(CV19:CV$47)*CW19*CV$63/CV$64+SUM(CV20:CV$47)*(CV$64-CV$63)/CV$64*CW19)</f>
        <v>2910000.0000000005</v>
      </c>
      <c r="CY19" s="87"/>
      <c r="CZ19" s="165">
        <f t="shared" si="153"/>
        <v>0</v>
      </c>
      <c r="DA19" s="165">
        <f t="shared" si="154"/>
        <v>2910000.0000000005</v>
      </c>
      <c r="DB19" s="165"/>
      <c r="DC19" s="87">
        <f t="shared" si="155"/>
        <v>0</v>
      </c>
      <c r="DD19" s="77" t="str">
        <f t="shared" si="156"/>
        <v>---</v>
      </c>
      <c r="DE19" s="87">
        <f t="shared" si="157"/>
        <v>2820600</v>
      </c>
      <c r="DF19" s="165"/>
      <c r="DG19" s="87">
        <f>IF($A19=DG$58,DG$53-SUM(DG$11:DG18), 0)</f>
        <v>0</v>
      </c>
      <c r="DH19" s="77" t="str">
        <f t="shared" si="158"/>
        <v xml:space="preserve">   </v>
      </c>
      <c r="DI19" s="87">
        <f>IF(OR($A19&gt;DG$58,$A19&lt;DG$51), 0, SUM(DG19:DG$47)*DH19*DG$63/DG$64+SUM(DG20:DG$47)*(DG$64-DG$63)/DG$64*DH19)</f>
        <v>0</v>
      </c>
      <c r="DJ19" s="87"/>
      <c r="DK19" s="87">
        <f>IF($A19=DK$58,DK$53-SUM(DK$11:DK18), 0)</f>
        <v>0</v>
      </c>
      <c r="DL19" s="77" t="str">
        <f t="shared" si="159"/>
        <v xml:space="preserve">   </v>
      </c>
      <c r="DM19" s="87">
        <f>IF(OR($A19&gt;DK$58,$A19&lt;DK$51), 0, SUM(DK19:DK$47)*DL19*DK$63/DK$64+SUM(DK20:DK$47)*(DK$64-DK$63)/DK$64*DL19)</f>
        <v>0</v>
      </c>
      <c r="DN19" s="87"/>
      <c r="DO19" s="87">
        <f>IF($A19=DO$58,DO$53-SUM(DO$11:DO18), 0)</f>
        <v>0</v>
      </c>
      <c r="DP19" s="77" t="str">
        <f t="shared" si="160"/>
        <v xml:space="preserve">   </v>
      </c>
      <c r="DQ19" s="87">
        <f>IF(OR($A19&gt;DO$58,$A19&lt;DO$51), 0, SUM(DO19:DO$47)*DP19*DO$63/DO$64+SUM(DO20:DO$47)*(DO$64-DO$63)/DO$64*DP19)</f>
        <v>0</v>
      </c>
      <c r="DR19" s="165"/>
      <c r="DS19" s="87">
        <f>IF($A19=DS$58,DS$53-SUM(DS$11:DS18), 0)</f>
        <v>0</v>
      </c>
      <c r="DT19" s="77" t="str">
        <f t="shared" si="161"/>
        <v xml:space="preserve">   </v>
      </c>
      <c r="DU19" s="87">
        <f>IF(OR($A19&gt;DS$58,$A19&lt;DS$51), 0, SUM(DS19:DS$47)*DT19*DS$63/DS$64+SUM(DS20:DS$47)*(DS$64-DS$63)/DS$64*DT19)</f>
        <v>0</v>
      </c>
      <c r="DV19" s="165"/>
      <c r="DW19" s="165">
        <f t="shared" si="171"/>
        <v>0</v>
      </c>
      <c r="DX19" s="165">
        <f t="shared" si="172"/>
        <v>24436480</v>
      </c>
      <c r="DY19" s="87"/>
      <c r="DZ19" s="53">
        <f t="shared" si="162"/>
        <v>2032</v>
      </c>
      <c r="EA19" s="35">
        <f t="shared" si="163"/>
        <v>125000000</v>
      </c>
      <c r="EB19" s="35">
        <f t="shared" si="164"/>
        <v>31623980</v>
      </c>
      <c r="EC19" s="87">
        <f t="shared" si="165"/>
        <v>156623980</v>
      </c>
      <c r="ED19" s="171">
        <f t="shared" si="173"/>
        <v>9</v>
      </c>
      <c r="EE19" s="61">
        <f>EA$53-SUM(EA$10:EA19)</f>
        <v>666030000</v>
      </c>
    </row>
    <row r="20" spans="1:135" s="33" customFormat="1" outlineLevel="1">
      <c r="A20" s="7">
        <f t="shared" si="166"/>
        <v>2033</v>
      </c>
      <c r="B20" s="151">
        <f>Assumptions!B17</f>
        <v>5.3800000000000001E-2</v>
      </c>
      <c r="C20" s="151">
        <f>Assumptions!C17</f>
        <v>5.3800000000000001E-2</v>
      </c>
      <c r="D20" s="151">
        <f>Assumptions!D17</f>
        <v>3.5000000000000003E-2</v>
      </c>
      <c r="E20" s="151">
        <f>Assumptions!E17</f>
        <v>5.2999999999999999E-2</v>
      </c>
      <c r="F20" s="151">
        <f>Assumptions!F17</f>
        <v>0</v>
      </c>
      <c r="G20" s="151">
        <f>Assumptions!G17</f>
        <v>3.0000000000000001E-3</v>
      </c>
      <c r="H20" s="151">
        <f>Assumptions!H17</f>
        <v>8.0000000000000004E-4</v>
      </c>
      <c r="I20" s="151"/>
      <c r="J20" s="151"/>
      <c r="K20" s="151"/>
      <c r="L20" s="86"/>
      <c r="M20" s="87">
        <f>IF($A20=M$58,M$53-SUM(M$11:M19), 0)</f>
        <v>0</v>
      </c>
      <c r="N20" s="8" t="str">
        <f t="shared" si="128"/>
        <v xml:space="preserve">   </v>
      </c>
      <c r="O20" s="87">
        <f>IF($A20&gt;M$58, 0, SUM(M20:M$47)*N20*M$63/M$64+SUM(M21:M$47)*(M$64-M$63)/M$64*N20)</f>
        <v>0</v>
      </c>
      <c r="P20" s="35"/>
      <c r="Q20" s="87">
        <f>IF($A20=Q$58,Q$53-SUM(Q$11:Q19), 0)</f>
        <v>0</v>
      </c>
      <c r="R20" s="8" t="str">
        <f t="shared" si="129"/>
        <v xml:space="preserve">   </v>
      </c>
      <c r="S20" s="87">
        <f>IF($A20&gt;Q$58, 0, SUM(Q20:Q$47)*R20*Q$63/Q$64+SUM(Q21:Q$47)*(Q$64-Q$63)/Q$64*R20)</f>
        <v>0</v>
      </c>
      <c r="T20" s="35"/>
      <c r="U20" s="35">
        <f t="shared" si="130"/>
        <v>0</v>
      </c>
      <c r="V20" s="35">
        <f t="shared" si="131"/>
        <v>0</v>
      </c>
      <c r="W20" s="87"/>
      <c r="X20" s="87">
        <f>IF($A20=X$58,X$53-SUM(X$11:X19), 0)</f>
        <v>0</v>
      </c>
      <c r="Y20" s="8" t="str">
        <f t="shared" si="132"/>
        <v xml:space="preserve">   </v>
      </c>
      <c r="Z20" s="87">
        <f>IF($A20&gt;X$58, 0, SUM(X20:X$47)*Y20*X$63/X$64+SUM(X21:X$47)*(X$64-X$63)/X$64*Y20)</f>
        <v>0</v>
      </c>
      <c r="AA20" s="87"/>
      <c r="AB20" s="87">
        <f>IF($A20=AB$58,AB$53-SUM(AB$11:AB19), 0)</f>
        <v>0</v>
      </c>
      <c r="AC20" s="8" t="str">
        <f t="shared" si="133"/>
        <v xml:space="preserve">   </v>
      </c>
      <c r="AD20" s="87">
        <f>IF($A20&gt;AB$58, 0, SUM(AB20:AB$47)*AC20*AB$63/AB$64+SUM(AB21:AB$47)*(AB$64-AB$63)/AB$64*AC20)</f>
        <v>0</v>
      </c>
      <c r="AE20" s="87"/>
      <c r="AF20" s="87">
        <f>IF($A20=AF$58,AF$53-SUM(AF$11:AF19), 0)</f>
        <v>0</v>
      </c>
      <c r="AG20" s="8">
        <f t="shared" si="134"/>
        <v>5.5E-2</v>
      </c>
      <c r="AH20" s="87">
        <f>IF($A20&gt;AF$58, 0, SUM(AF20:AF$47)*AG20*AF$63/AF$64+SUM(AF21:AF$47)*(AF$64-AF$63)/AF$64*AG20)</f>
        <v>550000</v>
      </c>
      <c r="AI20" s="35"/>
      <c r="AJ20" s="87">
        <f>IF($A20=AJ$58,AJ$53-SUM(AJ$11:AJ19), 0)</f>
        <v>0</v>
      </c>
      <c r="AK20" s="77">
        <f t="shared" si="135"/>
        <v>3.8800000000000008E-2</v>
      </c>
      <c r="AL20" s="87">
        <f>IF($A20&gt;AJ$58, 0, SUM(AJ20:AJ$47)*AK20*AJ$63/AJ$64+SUM(AJ21:AJ$47)*(AJ$64-AJ$63)/AJ$64*AK20)</f>
        <v>1940000.0000000005</v>
      </c>
      <c r="AM20" s="35"/>
      <c r="AN20" s="87">
        <f>IF($A20='Debt Service'!AN$58, 'Debt Service'!AN$53-SUM(AN$11:AN19), 0)</f>
        <v>0</v>
      </c>
      <c r="AO20" s="77" t="str">
        <f t="shared" si="136"/>
        <v xml:space="preserve">   </v>
      </c>
      <c r="AP20" s="87">
        <f>IF($A20&gt;'Debt Service'!AN$58, 0, SUM(AN20:AN$47)*AO20*AN$63/AN$64+SUM(AN21:AN$47)*(AN$64-AN$63)/AN$64*AO20)</f>
        <v>0</v>
      </c>
      <c r="AQ20" s="87"/>
      <c r="AR20" s="87">
        <f>IF($A20=AR$58,AR$53-SUM(AR$11:AR19), 0)</f>
        <v>0</v>
      </c>
      <c r="AS20" s="77">
        <f t="shared" si="137"/>
        <v>4.3546000000000001E-2</v>
      </c>
      <c r="AT20" s="87">
        <f>IF($A20&gt;AR$58, 0, SUM(AR20:AR$47)*AS20*AR$63/AR$64+SUM(AR21:AR$47)*(AR$64-AR$63)/AR$64*AS20)</f>
        <v>2177300</v>
      </c>
      <c r="AV20" s="35">
        <f t="shared" si="138"/>
        <v>0</v>
      </c>
      <c r="AW20" s="35">
        <f t="shared" si="139"/>
        <v>4667300</v>
      </c>
      <c r="AX20" s="87"/>
      <c r="AY20" s="87">
        <f>IF($A20=AY$58,AY$53-SUM(AY$11:AY19), 0)</f>
        <v>10000000</v>
      </c>
      <c r="AZ20" s="8">
        <f t="shared" si="140"/>
        <v>0.05</v>
      </c>
      <c r="BA20" s="87">
        <f>IF($A20&gt;AY$58, 0, SUM(AY20:AY$47)*AZ20*AY$63/AY$64+SUM(AY21:AY$47)*(AY$64-AY$63)/AY$64*AZ20)</f>
        <v>500000</v>
      </c>
      <c r="BB20" s="61"/>
      <c r="BC20" s="87">
        <f>IF($A20=BC$58,BC$53-SUM(BC$11:BC19), 0)</f>
        <v>0</v>
      </c>
      <c r="BD20" s="77">
        <f t="shared" si="141"/>
        <v>4.3646000000000004E-2</v>
      </c>
      <c r="BE20" s="87">
        <f>IF($A20&gt;BC$58, 0, SUM(BC20:BC$47)*BD20*BC$63/BC$64+SUM(BC21:BC$47)*(BC$64-BC$63)/BC$64*BD20)</f>
        <v>1309380.0000000002</v>
      </c>
      <c r="BF20" s="61"/>
      <c r="BG20" s="87">
        <f>IF($A20=BG$58,BG$53-SUM(BG$11:BG19), 0)</f>
        <v>0</v>
      </c>
      <c r="BH20" s="77">
        <f t="shared" si="142"/>
        <v>4.4846000000000004E-2</v>
      </c>
      <c r="BI20" s="87">
        <f>IF($A20&gt;BG$58, 0, SUM(BG20:BG$47)*BH20*BG$63/BG$64+SUM(BG21:BG$47)*(BG$64-BG$63)/BG$64*BH20)</f>
        <v>3363450.0000000005</v>
      </c>
      <c r="BJ20" s="61"/>
      <c r="BK20" s="35">
        <f t="shared" si="167"/>
        <v>10000000</v>
      </c>
      <c r="BL20" s="35">
        <f t="shared" si="168"/>
        <v>5172830.0000000009</v>
      </c>
      <c r="BM20" s="86"/>
      <c r="BN20" s="87">
        <f>IF($A20=BN$58,BN$53-SUM(BN$11:BN19), 0)</f>
        <v>0</v>
      </c>
      <c r="BO20" s="8" t="str">
        <f t="shared" si="143"/>
        <v xml:space="preserve">   </v>
      </c>
      <c r="BP20" s="87">
        <f>IF($A20&gt;BN$58, 0, SUM(BN20:BN$47)*BO20*BN$63/BN$64+SUM(BN21:BN$47)*(BN$64-BN$63)/BN$64*BO20)</f>
        <v>0</v>
      </c>
      <c r="BQ20" s="77"/>
      <c r="BR20" s="87">
        <f>IF($A20=BR$58,BR$53-SUM(BR$11:BR19), 0)</f>
        <v>0</v>
      </c>
      <c r="BS20" s="77">
        <f t="shared" si="144"/>
        <v>3.8800000000000008E-2</v>
      </c>
      <c r="BT20" s="87">
        <f>IF($A20&gt;BR$58, 0, SUM(BR20:BR$47)*BS20*BR$63/BR$64+SUM(BR21:BR$47)*(BR$64-BR$63)/BR$64*BS20)</f>
        <v>2910000.0000000005</v>
      </c>
      <c r="BU20" s="87"/>
      <c r="BV20" s="35">
        <f t="shared" si="169"/>
        <v>0</v>
      </c>
      <c r="BW20" s="35">
        <f t="shared" si="170"/>
        <v>2910000.0000000005</v>
      </c>
      <c r="BX20" s="87"/>
      <c r="BY20" s="87">
        <f>IF($A20='Debt Service'!BY$58, 'Debt Service'!BY$53-SUM(BY$11:BY19), 0)</f>
        <v>0</v>
      </c>
      <c r="BZ20" s="8" t="str">
        <f>IF($A20&gt;'Debt Service'!BY$58, "   ",'Debt Service'!BY$54)</f>
        <v xml:space="preserve">   </v>
      </c>
      <c r="CA20" s="87"/>
      <c r="CB20" s="87"/>
      <c r="CC20" s="87">
        <f>IF($A20='Debt Service'!CC$58, 'Debt Service'!CC$53-SUM(CC$11:CC19), 0)</f>
        <v>0</v>
      </c>
      <c r="CD20" s="77" t="str">
        <f t="shared" si="146"/>
        <v xml:space="preserve">   </v>
      </c>
      <c r="CE20" s="87">
        <f>IF(OR($A20&gt;'Debt Service'!CC$58, $A20&lt;CC$51), 0, SUM(CC20:CC$47)*CD20*CC$63/CC$64+SUM(CC21:CC$47)*(CC$64-CC$63)/CC$64*CD20)</f>
        <v>0</v>
      </c>
      <c r="CF20" s="87"/>
      <c r="CG20" s="87">
        <f>IF($A20=CG$58,CG$53-SUM(CG$11:CG19), 0)</f>
        <v>0</v>
      </c>
      <c r="CH20" s="77">
        <f t="shared" si="147"/>
        <v>3.9000000000000007E-2</v>
      </c>
      <c r="CI20" s="87">
        <f>IF($A20&gt;CG$58, 0, SUM(CG20:CG$47)*CH20*CG$63/CG$64+SUM(CG21:CG$47)*(CG$64-CG$63)/CG$64*CH20)</f>
        <v>2925000.0000000005</v>
      </c>
      <c r="CJ20" s="87"/>
      <c r="CK20" s="87">
        <f>IF($A20=CK$58,CK$53-SUM(CK$11:CK19), 0)</f>
        <v>0</v>
      </c>
      <c r="CL20" s="77">
        <f t="shared" si="148"/>
        <v>4.0410000000000001E-2</v>
      </c>
      <c r="CM20" s="87">
        <f>IF($A20&gt;CK$58, 0, SUM(CK20:CK$47)*CL20*CK$63/CK$64+SUM(CK21:CK$47)*(CK$64-CK$63)/CK$64*CL20)</f>
        <v>3030750</v>
      </c>
      <c r="CN20" s="87"/>
      <c r="CO20" s="162">
        <f t="shared" si="149"/>
        <v>0</v>
      </c>
      <c r="CP20" s="87">
        <f t="shared" si="150"/>
        <v>5955750</v>
      </c>
      <c r="CQ20" s="87"/>
      <c r="CR20" s="87">
        <f>IF($A20='Debt Service'!CR$58, 'Debt Service'!CR$53-SUM(CR$11:CR19), 0)</f>
        <v>0</v>
      </c>
      <c r="CS20" s="77" t="str">
        <f t="shared" si="151"/>
        <v xml:space="preserve">   </v>
      </c>
      <c r="CT20" s="87">
        <f>IF($A20&gt;'Debt Service'!CR$58, 0, SUM(CR20:CR$47)*CS20*CR$63/CR$64+SUM(CR21:CR$47)*(CR$64-CR$63)/CR$64*CS20)</f>
        <v>0</v>
      </c>
      <c r="CU20" s="87"/>
      <c r="CV20" s="87">
        <f>IF($A20=CV$58,CV$53-SUM(CV$11:CV19), 0)</f>
        <v>0</v>
      </c>
      <c r="CW20" s="77">
        <f t="shared" si="152"/>
        <v>3.8800000000000008E-2</v>
      </c>
      <c r="CX20" s="87">
        <f>IF($A20&gt;CV$58, 0, SUM(CV20:CV$47)*CW20*CV$63/CV$64+SUM(CV21:CV$47)*(CV$64-CV$63)/CV$64*CW20)</f>
        <v>2910000.0000000005</v>
      </c>
      <c r="CY20" s="87"/>
      <c r="CZ20" s="165">
        <f t="shared" si="153"/>
        <v>0</v>
      </c>
      <c r="DA20" s="165">
        <f t="shared" si="154"/>
        <v>2910000.0000000005</v>
      </c>
      <c r="DB20" s="165"/>
      <c r="DC20" s="87">
        <f t="shared" si="155"/>
        <v>50000000</v>
      </c>
      <c r="DD20" s="77">
        <f t="shared" si="156"/>
        <v>0.04</v>
      </c>
      <c r="DE20" s="87">
        <f t="shared" si="157"/>
        <v>2820600</v>
      </c>
      <c r="DF20" s="165"/>
      <c r="DG20" s="87">
        <f>IF($A20=DG$58,DG$53-SUM(DG$11:DG19), 0)</f>
        <v>0</v>
      </c>
      <c r="DH20" s="77" t="str">
        <f t="shared" si="158"/>
        <v xml:space="preserve">   </v>
      </c>
      <c r="DI20" s="87">
        <f>IF(OR($A20&gt;DG$58,$A20&lt;DG$51), 0, SUM(DG20:DG$47)*DH20*DG$63/DG$64+SUM(DG21:DG$47)*(DG$64-DG$63)/DG$64*DH20)</f>
        <v>0</v>
      </c>
      <c r="DJ20" s="87"/>
      <c r="DK20" s="87">
        <f>IF($A20=DK$58,DK$53-SUM(DK$11:DK19), 0)</f>
        <v>0</v>
      </c>
      <c r="DL20" s="77" t="str">
        <f t="shared" si="159"/>
        <v xml:space="preserve">   </v>
      </c>
      <c r="DM20" s="87">
        <f>IF(OR($A20&gt;DK$58,$A20&lt;DK$51), 0, SUM(DK20:DK$47)*DL20*DK$63/DK$64+SUM(DK21:DK$47)*(DK$64-DK$63)/DK$64*DL20)</f>
        <v>0</v>
      </c>
      <c r="DN20" s="87"/>
      <c r="DO20" s="87">
        <f>IF($A20=DO$58,DO$53-SUM(DO$11:DO19), 0)</f>
        <v>0</v>
      </c>
      <c r="DP20" s="77" t="str">
        <f t="shared" si="160"/>
        <v xml:space="preserve">   </v>
      </c>
      <c r="DQ20" s="87">
        <f>IF(OR($A20&gt;DO$58,$A20&lt;DO$51), 0, SUM(DO20:DO$47)*DP20*DO$63/DO$64+SUM(DO21:DO$47)*(DO$64-DO$63)/DO$64*DP20)</f>
        <v>0</v>
      </c>
      <c r="DR20" s="165"/>
      <c r="DS20" s="87">
        <f>IF($A20=DS$58,DS$53-SUM(DS$11:DS19), 0)</f>
        <v>0</v>
      </c>
      <c r="DT20" s="77" t="str">
        <f t="shared" si="161"/>
        <v xml:space="preserve">   </v>
      </c>
      <c r="DU20" s="87">
        <f>IF(OR($A20&gt;DS$58,$A20&lt;DS$51), 0, SUM(DS20:DS$47)*DT20*DS$63/DS$64+SUM(DS21:DS$47)*(DS$64-DS$63)/DS$64*DT20)</f>
        <v>0</v>
      </c>
      <c r="DV20" s="165"/>
      <c r="DW20" s="165">
        <f t="shared" si="171"/>
        <v>60000000</v>
      </c>
      <c r="DX20" s="165">
        <f t="shared" si="172"/>
        <v>24436480</v>
      </c>
      <c r="DY20" s="87"/>
      <c r="DZ20" s="53">
        <f t="shared" si="162"/>
        <v>2033</v>
      </c>
      <c r="EA20" s="35">
        <f t="shared" si="163"/>
        <v>60000000</v>
      </c>
      <c r="EB20" s="35">
        <f t="shared" si="164"/>
        <v>24436480</v>
      </c>
      <c r="EC20" s="87">
        <f t="shared" si="165"/>
        <v>84436480</v>
      </c>
      <c r="ED20" s="171">
        <f t="shared" si="173"/>
        <v>10</v>
      </c>
      <c r="EE20" s="61">
        <f>EA$53-SUM(EA$10:EA20)</f>
        <v>606030000</v>
      </c>
    </row>
    <row r="21" spans="1:135" s="33" customFormat="1" outlineLevel="1">
      <c r="A21" s="7">
        <f t="shared" si="166"/>
        <v>2034</v>
      </c>
      <c r="B21" s="151">
        <f>Assumptions!B18</f>
        <v>5.3800000000000001E-2</v>
      </c>
      <c r="C21" s="151">
        <f>Assumptions!C18</f>
        <v>5.3800000000000001E-2</v>
      </c>
      <c r="D21" s="151">
        <f>Assumptions!D18</f>
        <v>3.5000000000000003E-2</v>
      </c>
      <c r="E21" s="151">
        <f>Assumptions!E18</f>
        <v>5.2999999999999999E-2</v>
      </c>
      <c r="F21" s="151">
        <f>Assumptions!F18</f>
        <v>0</v>
      </c>
      <c r="G21" s="151">
        <f>Assumptions!G18</f>
        <v>3.0000000000000001E-3</v>
      </c>
      <c r="H21" s="151">
        <f>Assumptions!H18</f>
        <v>8.0000000000000004E-4</v>
      </c>
      <c r="I21" s="151"/>
      <c r="J21" s="151"/>
      <c r="K21" s="151"/>
      <c r="L21" s="86"/>
      <c r="M21" s="87">
        <f>IF($A21=M$58,M$53-SUM(M$11:M20), 0)</f>
        <v>0</v>
      </c>
      <c r="N21" s="8" t="str">
        <f t="shared" si="128"/>
        <v xml:space="preserve">   </v>
      </c>
      <c r="O21" s="87">
        <f>IF($A21&gt;M$58, 0, SUM(M21:M$47)*N21*M$63/M$64+SUM(M22:M$47)*(M$64-M$63)/M$64*N21)</f>
        <v>0</v>
      </c>
      <c r="P21" s="35"/>
      <c r="Q21" s="87">
        <f>IF($A21=Q$58,Q$53-SUM(Q$11:Q20), 0)</f>
        <v>0</v>
      </c>
      <c r="R21" s="8" t="str">
        <f t="shared" si="129"/>
        <v xml:space="preserve">   </v>
      </c>
      <c r="S21" s="87">
        <f>IF($A21&gt;Q$58, 0, SUM(Q21:Q$47)*R21*Q$63/Q$64+SUM(Q22:Q$47)*(Q$64-Q$63)/Q$64*R21)</f>
        <v>0</v>
      </c>
      <c r="T21" s="35"/>
      <c r="U21" s="35">
        <f t="shared" si="130"/>
        <v>0</v>
      </c>
      <c r="V21" s="35">
        <f t="shared" si="131"/>
        <v>0</v>
      </c>
      <c r="W21" s="87"/>
      <c r="X21" s="87">
        <f>IF($A21=X$58,X$53-SUM(X$11:X20), 0)</f>
        <v>0</v>
      </c>
      <c r="Y21" s="8" t="str">
        <f t="shared" si="132"/>
        <v xml:space="preserve">   </v>
      </c>
      <c r="Z21" s="87">
        <f>IF($A21&gt;X$58, 0, SUM(X21:X$47)*Y21*X$63/X$64+SUM(X22:X$47)*(X$64-X$63)/X$64*Y21)</f>
        <v>0</v>
      </c>
      <c r="AA21" s="87"/>
      <c r="AB21" s="87">
        <f>IF($A21=AB$58,AB$53-SUM(AB$11:AB20), 0)</f>
        <v>0</v>
      </c>
      <c r="AC21" s="8" t="str">
        <f t="shared" si="133"/>
        <v xml:space="preserve">   </v>
      </c>
      <c r="AD21" s="87">
        <f>IF($A21&gt;AB$58, 0, SUM(AB21:AB$47)*AC21*AB$63/AB$64+SUM(AB22:AB$47)*(AB$64-AB$63)/AB$64*AC21)</f>
        <v>0</v>
      </c>
      <c r="AE21" s="87"/>
      <c r="AF21" s="87">
        <f>IF($A21=AF$58,AF$53-SUM(AF$11:AF20), 0)</f>
        <v>0</v>
      </c>
      <c r="AG21" s="8">
        <f t="shared" si="134"/>
        <v>5.5E-2</v>
      </c>
      <c r="AH21" s="87">
        <f>IF($A21&gt;AF$58, 0, SUM(AF21:AF$47)*AG21*AF$63/AF$64+SUM(AF22:AF$47)*(AF$64-AF$63)/AF$64*AG21)</f>
        <v>550000</v>
      </c>
      <c r="AI21" s="35"/>
      <c r="AJ21" s="87">
        <f>IF($A21=AJ$58,AJ$53-SUM(AJ$11:AJ20), 0)</f>
        <v>0</v>
      </c>
      <c r="AK21" s="77">
        <f t="shared" si="135"/>
        <v>3.8800000000000008E-2</v>
      </c>
      <c r="AL21" s="87">
        <f>IF($A21&gt;AJ$58, 0, SUM(AJ21:AJ$47)*AK21*AJ$63/AJ$64+SUM(AJ22:AJ$47)*(AJ$64-AJ$63)/AJ$64*AK21)</f>
        <v>1940000.0000000005</v>
      </c>
      <c r="AM21" s="35"/>
      <c r="AN21" s="87">
        <f>IF($A21='Debt Service'!AN$58, 'Debt Service'!AN$53-SUM(AN$11:AN20), 0)</f>
        <v>0</v>
      </c>
      <c r="AO21" s="77" t="str">
        <f t="shared" si="136"/>
        <v xml:space="preserve">   </v>
      </c>
      <c r="AP21" s="87">
        <f>IF($A21&gt;'Debt Service'!AN$58, 0, SUM(AN21:AN$47)*AO21*AN$63/AN$64+SUM(AN22:AN$47)*(AN$64-AN$63)/AN$64*AO21)</f>
        <v>0</v>
      </c>
      <c r="AQ21" s="87"/>
      <c r="AR21" s="87">
        <f>IF($A21=AR$58,AR$53-SUM(AR$11:AR20), 0)</f>
        <v>0</v>
      </c>
      <c r="AS21" s="77">
        <f t="shared" si="137"/>
        <v>4.3546000000000001E-2</v>
      </c>
      <c r="AT21" s="87">
        <f>IF($A21&gt;AR$58, 0, SUM(AR21:AR$47)*AS21*AR$63/AR$64+SUM(AR22:AR$47)*(AR$64-AR$63)/AR$64*AS21)</f>
        <v>2177300</v>
      </c>
      <c r="AV21" s="35">
        <f t="shared" si="138"/>
        <v>0</v>
      </c>
      <c r="AW21" s="35">
        <f t="shared" si="139"/>
        <v>4667300</v>
      </c>
      <c r="AX21" s="87"/>
      <c r="AY21" s="87">
        <f>IF($A21=AY$58,AY$53-SUM(AY$11:AY20), 0)</f>
        <v>0</v>
      </c>
      <c r="AZ21" s="8" t="str">
        <f t="shared" si="140"/>
        <v xml:space="preserve">   </v>
      </c>
      <c r="BA21" s="87">
        <f>IF($A21&gt;AY$58, 0, SUM(AY21:AY$47)*AZ21*AY$63/AY$64+SUM(AY22:AY$47)*(AY$64-AY$63)/AY$64*AZ21)</f>
        <v>0</v>
      </c>
      <c r="BB21" s="61"/>
      <c r="BC21" s="87">
        <f>IF($A21=BC$58,BC$53-SUM(BC$11:BC20), 0)</f>
        <v>0</v>
      </c>
      <c r="BD21" s="77">
        <f t="shared" si="141"/>
        <v>4.3646000000000004E-2</v>
      </c>
      <c r="BE21" s="87">
        <f>IF($A21&gt;BC$58, 0, SUM(BC21:BC$47)*BD21*BC$63/BC$64+SUM(BC22:BC$47)*(BC$64-BC$63)/BC$64*BD21)</f>
        <v>1309380.0000000002</v>
      </c>
      <c r="BF21" s="61"/>
      <c r="BG21" s="87">
        <f>IF($A21=BG$58,BG$53-SUM(BG$11:BG20), 0)</f>
        <v>0</v>
      </c>
      <c r="BH21" s="77">
        <f t="shared" si="142"/>
        <v>4.4846000000000004E-2</v>
      </c>
      <c r="BI21" s="87">
        <f>IF($A21&gt;BG$58, 0, SUM(BG21:BG$47)*BH21*BG$63/BG$64+SUM(BG22:BG$47)*(BG$64-BG$63)/BG$64*BH21)</f>
        <v>3363450.0000000005</v>
      </c>
      <c r="BJ21" s="61"/>
      <c r="BK21" s="35">
        <f t="shared" si="167"/>
        <v>0</v>
      </c>
      <c r="BL21" s="35">
        <f t="shared" si="168"/>
        <v>4672830.0000000009</v>
      </c>
      <c r="BM21" s="86"/>
      <c r="BN21" s="87">
        <f>IF($A21=BN$58,BN$53-SUM(BN$11:BN20), 0)</f>
        <v>0</v>
      </c>
      <c r="BO21" s="8" t="str">
        <f t="shared" si="143"/>
        <v xml:space="preserve">   </v>
      </c>
      <c r="BP21" s="87">
        <f>IF($A21&gt;BN$58, 0, SUM(BN21:BN$47)*BO21*BN$63/BN$64+SUM(BN22:BN$47)*(BN$64-BN$63)/BN$64*BO21)</f>
        <v>0</v>
      </c>
      <c r="BQ21" s="77"/>
      <c r="BR21" s="87">
        <f>IF($A21=BR$58,BR$53-SUM(BR$11:BR20), 0)</f>
        <v>0</v>
      </c>
      <c r="BS21" s="77">
        <f t="shared" si="144"/>
        <v>3.8800000000000008E-2</v>
      </c>
      <c r="BT21" s="87">
        <f>IF($A21&gt;BR$58, 0, SUM(BR21:BR$47)*BS21*BR$63/BR$64+SUM(BR22:BR$47)*(BR$64-BR$63)/BR$64*BS21)</f>
        <v>2910000.0000000005</v>
      </c>
      <c r="BU21" s="87"/>
      <c r="BV21" s="35">
        <f t="shared" si="169"/>
        <v>0</v>
      </c>
      <c r="BW21" s="35">
        <f t="shared" si="170"/>
        <v>2910000.0000000005</v>
      </c>
      <c r="BX21" s="87"/>
      <c r="BY21" s="87">
        <f>IF($A21='Debt Service'!BY$58, 'Debt Service'!BY$53-SUM(BY$11:BY20), 0)</f>
        <v>0</v>
      </c>
      <c r="BZ21" s="8" t="str">
        <f>IF($A21&gt;'Debt Service'!BY$58, "   ",'Debt Service'!BY$54)</f>
        <v xml:space="preserve">   </v>
      </c>
      <c r="CA21" s="87"/>
      <c r="CB21" s="87"/>
      <c r="CC21" s="87">
        <f>IF($A21='Debt Service'!CC$58, 'Debt Service'!CC$53-SUM(CC$11:CC20), 0)</f>
        <v>0</v>
      </c>
      <c r="CD21" s="77" t="str">
        <f t="shared" si="146"/>
        <v xml:space="preserve">   </v>
      </c>
      <c r="CE21" s="87">
        <f>IF(OR($A21&gt;'Debt Service'!CC$58, $A21&lt;CC$51), 0, SUM(CC21:CC$47)*CD21*CC$63/CC$64+SUM(CC22:CC$47)*(CC$64-CC$63)/CC$64*CD21)</f>
        <v>0</v>
      </c>
      <c r="CF21" s="87"/>
      <c r="CG21" s="87">
        <f>IF($A21=CG$58,CG$53-SUM(CG$11:CG20), 0)</f>
        <v>0</v>
      </c>
      <c r="CH21" s="77">
        <f t="shared" si="147"/>
        <v>3.9000000000000007E-2</v>
      </c>
      <c r="CI21" s="87">
        <f>IF($A21&gt;CG$58, 0, SUM(CG21:CG$47)*CH21*CG$63/CG$64+SUM(CG22:CG$47)*(CG$64-CG$63)/CG$64*CH21)</f>
        <v>2925000.0000000005</v>
      </c>
      <c r="CJ21" s="87"/>
      <c r="CK21" s="87">
        <f>IF($A21=CK$58,CK$53-SUM(CK$11:CK20), 0)</f>
        <v>0</v>
      </c>
      <c r="CL21" s="77">
        <f t="shared" si="148"/>
        <v>4.0410000000000001E-2</v>
      </c>
      <c r="CM21" s="87">
        <f>IF($A21&gt;CK$58, 0, SUM(CK21:CK$47)*CL21*CK$63/CK$64+SUM(CK22:CK$47)*(CK$64-CK$63)/CK$64*CL21)</f>
        <v>3030750</v>
      </c>
      <c r="CN21" s="87"/>
      <c r="CO21" s="162">
        <f t="shared" si="149"/>
        <v>0</v>
      </c>
      <c r="CP21" s="87">
        <f t="shared" si="150"/>
        <v>5955750</v>
      </c>
      <c r="CQ21" s="87"/>
      <c r="CR21" s="87">
        <f>IF($A21='Debt Service'!CR$58, 'Debt Service'!CR$53-SUM(CR$11:CR20), 0)</f>
        <v>0</v>
      </c>
      <c r="CS21" s="77" t="str">
        <f t="shared" si="151"/>
        <v xml:space="preserve">   </v>
      </c>
      <c r="CT21" s="87">
        <f>IF($A21&gt;'Debt Service'!CR$58, 0, SUM(CR21:CR$47)*CS21*CR$63/CR$64+SUM(CR22:CR$47)*(CR$64-CR$63)/CR$64*CS21)</f>
        <v>0</v>
      </c>
      <c r="CU21" s="87"/>
      <c r="CV21" s="87">
        <f>IF($A21=CV$58,CV$53-SUM(CV$11:CV20), 0)</f>
        <v>0</v>
      </c>
      <c r="CW21" s="77">
        <f t="shared" si="152"/>
        <v>3.8800000000000008E-2</v>
      </c>
      <c r="CX21" s="87">
        <f>IF($A21&gt;CV$58, 0, SUM(CV21:CV$47)*CW21*CV$63/CV$64+SUM(CV22:CV$47)*(CV$64-CV$63)/CV$64*CW21)</f>
        <v>2910000.0000000005</v>
      </c>
      <c r="CY21" s="87"/>
      <c r="CZ21" s="165">
        <f t="shared" si="153"/>
        <v>0</v>
      </c>
      <c r="DA21" s="165">
        <f t="shared" si="154"/>
        <v>2910000.0000000005</v>
      </c>
      <c r="DB21" s="165"/>
      <c r="DC21" s="87">
        <f t="shared" si="155"/>
        <v>41030000</v>
      </c>
      <c r="DD21" s="77">
        <f t="shared" si="156"/>
        <v>0.04</v>
      </c>
      <c r="DE21" s="87">
        <f t="shared" si="157"/>
        <v>1820600</v>
      </c>
      <c r="DF21" s="165"/>
      <c r="DG21" s="87">
        <f>IF($A21=DG$58,DG$53-SUM(DG$11:DG20), 0)</f>
        <v>0</v>
      </c>
      <c r="DH21" s="77" t="str">
        <f t="shared" si="158"/>
        <v xml:space="preserve">   </v>
      </c>
      <c r="DI21" s="87">
        <f>IF(OR($A21&gt;DG$58,$A21&lt;DG$51), 0, SUM(DG21:DG$47)*DH21*DG$63/DG$64+SUM(DG22:DG$47)*(DG$64-DG$63)/DG$64*DH21)</f>
        <v>0</v>
      </c>
      <c r="DJ21" s="87"/>
      <c r="DK21" s="87">
        <f>IF($A21=DK$58,DK$53-SUM(DK$11:DK20), 0)</f>
        <v>0</v>
      </c>
      <c r="DL21" s="77" t="str">
        <f t="shared" si="159"/>
        <v xml:space="preserve">   </v>
      </c>
      <c r="DM21" s="87">
        <f>IF(OR($A21&gt;DK$58,$A21&lt;DK$51), 0, SUM(DK21:DK$47)*DL21*DK$63/DK$64+SUM(DK22:DK$47)*(DK$64-DK$63)/DK$64*DL21)</f>
        <v>0</v>
      </c>
      <c r="DN21" s="87"/>
      <c r="DO21" s="87">
        <f>IF($A21=DO$58,DO$53-SUM(DO$11:DO20), 0)</f>
        <v>0</v>
      </c>
      <c r="DP21" s="77" t="str">
        <f t="shared" si="160"/>
        <v xml:space="preserve">   </v>
      </c>
      <c r="DQ21" s="87">
        <f>IF(OR($A21&gt;DO$58,$A21&lt;DO$51), 0, SUM(DO21:DO$47)*DP21*DO$63/DO$64+SUM(DO22:DO$47)*(DO$64-DO$63)/DO$64*DP21)</f>
        <v>0</v>
      </c>
      <c r="DR21" s="165"/>
      <c r="DS21" s="87">
        <f>IF($A21=DS$58,DS$53-SUM(DS$11:DS20), 0)</f>
        <v>0</v>
      </c>
      <c r="DT21" s="77" t="str">
        <f t="shared" si="161"/>
        <v xml:space="preserve">   </v>
      </c>
      <c r="DU21" s="87">
        <f>IF(OR($A21&gt;DS$58,$A21&lt;DS$51), 0, SUM(DS21:DS$47)*DT21*DS$63/DS$64+SUM(DS22:DS$47)*(DS$64-DS$63)/DS$64*DT21)</f>
        <v>0</v>
      </c>
      <c r="DV21" s="165"/>
      <c r="DW21" s="165">
        <f t="shared" si="171"/>
        <v>41030000</v>
      </c>
      <c r="DX21" s="165">
        <f t="shared" si="172"/>
        <v>22936480</v>
      </c>
      <c r="DY21" s="87"/>
      <c r="DZ21" s="53">
        <f t="shared" si="162"/>
        <v>2034</v>
      </c>
      <c r="EA21" s="35">
        <f t="shared" si="163"/>
        <v>41030000</v>
      </c>
      <c r="EB21" s="35">
        <f t="shared" si="164"/>
        <v>22936480</v>
      </c>
      <c r="EC21" s="87">
        <f t="shared" si="165"/>
        <v>63966480</v>
      </c>
      <c r="ED21" s="171">
        <f t="shared" si="173"/>
        <v>11</v>
      </c>
      <c r="EE21" s="61">
        <f>EA$53-SUM(EA$10:EA21)</f>
        <v>565000000</v>
      </c>
    </row>
    <row r="22" spans="1:135" s="33" customFormat="1" outlineLevel="1">
      <c r="A22" s="7">
        <f t="shared" si="166"/>
        <v>2035</v>
      </c>
      <c r="B22" s="151">
        <f>Assumptions!B19</f>
        <v>5.3800000000000001E-2</v>
      </c>
      <c r="C22" s="151">
        <f>Assumptions!C19</f>
        <v>5.3800000000000001E-2</v>
      </c>
      <c r="D22" s="151">
        <f>Assumptions!D19</f>
        <v>3.5000000000000003E-2</v>
      </c>
      <c r="E22" s="151">
        <f>Assumptions!E19</f>
        <v>5.2999999999999999E-2</v>
      </c>
      <c r="F22" s="151">
        <f>Assumptions!F19</f>
        <v>0</v>
      </c>
      <c r="G22" s="151">
        <f>Assumptions!G19</f>
        <v>3.0000000000000001E-3</v>
      </c>
      <c r="H22" s="151">
        <f>Assumptions!H19</f>
        <v>8.0000000000000004E-4</v>
      </c>
      <c r="I22" s="151"/>
      <c r="J22" s="151"/>
      <c r="K22" s="151"/>
      <c r="L22" s="86"/>
      <c r="M22" s="87">
        <f>IF($A22=M$58,M$53-SUM(M$11:M21), 0)</f>
        <v>0</v>
      </c>
      <c r="N22" s="8" t="str">
        <f t="shared" si="128"/>
        <v xml:space="preserve">   </v>
      </c>
      <c r="O22" s="87">
        <f>IF($A22&gt;M$58, 0, SUM(M22:M$47)*N22*M$63/M$64+SUM(M23:M$47)*(M$64-M$63)/M$64*N22)</f>
        <v>0</v>
      </c>
      <c r="P22" s="35"/>
      <c r="Q22" s="87">
        <f>IF($A22=Q$58,Q$53-SUM(Q$11:Q21), 0)</f>
        <v>0</v>
      </c>
      <c r="R22" s="8" t="str">
        <f t="shared" si="129"/>
        <v xml:space="preserve">   </v>
      </c>
      <c r="S22" s="87">
        <f>IF($A22&gt;Q$58, 0, SUM(Q22:Q$47)*R22*Q$63/Q$64+SUM(Q23:Q$47)*(Q$64-Q$63)/Q$64*R22)</f>
        <v>0</v>
      </c>
      <c r="T22" s="35"/>
      <c r="U22" s="35">
        <f t="shared" si="130"/>
        <v>0</v>
      </c>
      <c r="V22" s="35">
        <f t="shared" si="131"/>
        <v>0</v>
      </c>
      <c r="W22" s="87"/>
      <c r="X22" s="87">
        <f>IF($A22=X$58,X$53-SUM(X$11:X21), 0)</f>
        <v>0</v>
      </c>
      <c r="Y22" s="8" t="str">
        <f t="shared" si="132"/>
        <v xml:space="preserve">   </v>
      </c>
      <c r="Z22" s="87">
        <f>IF($A22&gt;X$58, 0, SUM(X22:X$47)*Y22*X$63/X$64+SUM(X23:X$47)*(X$64-X$63)/X$64*Y22)</f>
        <v>0</v>
      </c>
      <c r="AA22" s="87"/>
      <c r="AB22" s="87">
        <f>IF($A22=AB$58,AB$53-SUM(AB$11:AB21), 0)</f>
        <v>0</v>
      </c>
      <c r="AC22" s="8" t="str">
        <f t="shared" si="133"/>
        <v xml:space="preserve">   </v>
      </c>
      <c r="AD22" s="87">
        <f>IF($A22&gt;AB$58, 0, SUM(AB22:AB$47)*AC22*AB$63/AB$64+SUM(AB23:AB$47)*(AB$64-AB$63)/AB$64*AC22)</f>
        <v>0</v>
      </c>
      <c r="AE22" s="87"/>
      <c r="AF22" s="87">
        <f>IF($A22=AF$58,AF$53-SUM(AF$11:AF21), 0)</f>
        <v>0</v>
      </c>
      <c r="AG22" s="8">
        <f t="shared" si="134"/>
        <v>5.5E-2</v>
      </c>
      <c r="AH22" s="87">
        <f>IF($A22&gt;AF$58, 0, SUM(AF22:AF$47)*AG22*AF$63/AF$64+SUM(AF23:AF$47)*(AF$64-AF$63)/AF$64*AG22)</f>
        <v>550000</v>
      </c>
      <c r="AI22" s="35"/>
      <c r="AJ22" s="87">
        <f>IF($A22=AJ$58,AJ$53-SUM(AJ$11:AJ21), 0)</f>
        <v>0</v>
      </c>
      <c r="AK22" s="77">
        <f t="shared" si="135"/>
        <v>3.8800000000000008E-2</v>
      </c>
      <c r="AL22" s="87">
        <f>IF($A22&gt;AJ$58, 0, SUM(AJ22:AJ$47)*AK22*AJ$63/AJ$64+SUM(AJ23:AJ$47)*(AJ$64-AJ$63)/AJ$64*AK22)</f>
        <v>1940000.0000000005</v>
      </c>
      <c r="AM22" s="35"/>
      <c r="AN22" s="87">
        <f>IF($A22='Debt Service'!AN$58, 'Debt Service'!AN$53-SUM(AN$11:AN21), 0)</f>
        <v>0</v>
      </c>
      <c r="AO22" s="77" t="str">
        <f t="shared" si="136"/>
        <v xml:space="preserve">   </v>
      </c>
      <c r="AP22" s="87">
        <f>IF($A22&gt;'Debt Service'!AN$58, 0, SUM(AN22:AN$47)*AO22*AN$63/AN$64+SUM(AN23:AN$47)*(AN$64-AN$63)/AN$64*AO22)</f>
        <v>0</v>
      </c>
      <c r="AQ22" s="87"/>
      <c r="AR22" s="87">
        <f>IF($A22=AR$58,AR$53-SUM(AR$11:AR21), 0)</f>
        <v>0</v>
      </c>
      <c r="AS22" s="77">
        <f t="shared" si="137"/>
        <v>4.3546000000000001E-2</v>
      </c>
      <c r="AT22" s="87">
        <f>IF($A22&gt;AR$58, 0, SUM(AR22:AR$47)*AS22*AR$63/AR$64+SUM(AR23:AR$47)*(AR$64-AR$63)/AR$64*AS22)</f>
        <v>2177300</v>
      </c>
      <c r="AV22" s="35">
        <f t="shared" si="138"/>
        <v>0</v>
      </c>
      <c r="AW22" s="35">
        <f t="shared" si="139"/>
        <v>4667300</v>
      </c>
      <c r="AX22" s="87"/>
      <c r="AY22" s="87">
        <f>IF($A22=AY$58,AY$53-SUM(AY$11:AY21), 0)</f>
        <v>0</v>
      </c>
      <c r="AZ22" s="8" t="str">
        <f t="shared" si="140"/>
        <v xml:space="preserve">   </v>
      </c>
      <c r="BA22" s="87">
        <f>IF($A22&gt;AY$58, 0, SUM(AY22:AY$47)*AZ22*AY$63/AY$64+SUM(AY23:AY$47)*(AY$64-AY$63)/AY$64*AZ22)</f>
        <v>0</v>
      </c>
      <c r="BB22" s="61"/>
      <c r="BC22" s="87">
        <f>IF($A22=BC$58,BC$53-SUM(BC$11:BC21), 0)</f>
        <v>0</v>
      </c>
      <c r="BD22" s="77">
        <f t="shared" si="141"/>
        <v>4.3646000000000004E-2</v>
      </c>
      <c r="BE22" s="87">
        <f>IF($A22&gt;BC$58, 0, SUM(BC22:BC$47)*BD22*BC$63/BC$64+SUM(BC23:BC$47)*(BC$64-BC$63)/BC$64*BD22)</f>
        <v>1309380.0000000002</v>
      </c>
      <c r="BF22" s="61"/>
      <c r="BG22" s="87">
        <f>IF($A22=BG$58,BG$53-SUM(BG$11:BG21), 0)</f>
        <v>0</v>
      </c>
      <c r="BH22" s="77">
        <f t="shared" si="142"/>
        <v>4.4846000000000004E-2</v>
      </c>
      <c r="BI22" s="87">
        <f>IF($A22&gt;BG$58, 0, SUM(BG22:BG$47)*BH22*BG$63/BG$64+SUM(BG23:BG$47)*(BG$64-BG$63)/BG$64*BH22)</f>
        <v>3363450.0000000005</v>
      </c>
      <c r="BJ22" s="61"/>
      <c r="BK22" s="35">
        <f t="shared" si="167"/>
        <v>0</v>
      </c>
      <c r="BL22" s="35">
        <f t="shared" si="168"/>
        <v>4672830.0000000009</v>
      </c>
      <c r="BM22" s="86"/>
      <c r="BN22" s="87">
        <f>IF($A22=BN$58,BN$53-SUM(BN$11:BN21), 0)</f>
        <v>0</v>
      </c>
      <c r="BO22" s="8" t="str">
        <f t="shared" si="143"/>
        <v xml:space="preserve">   </v>
      </c>
      <c r="BP22" s="87">
        <f>IF($A22&gt;BN$58, 0, SUM(BN22:BN$47)*BO22*BN$63/BN$64+SUM(BN23:BN$47)*(BN$64-BN$63)/BN$64*BO22)</f>
        <v>0</v>
      </c>
      <c r="BQ22" s="77"/>
      <c r="BR22" s="87">
        <f>IF($A22=BR$58,BR$53-SUM(BR$11:BR21), 0)</f>
        <v>0</v>
      </c>
      <c r="BS22" s="77">
        <f t="shared" si="144"/>
        <v>3.8800000000000008E-2</v>
      </c>
      <c r="BT22" s="87">
        <f>IF($A22&gt;BR$58, 0, SUM(BR22:BR$47)*BS22*BR$63/BR$64+SUM(BR23:BR$47)*(BR$64-BR$63)/BR$64*BS22)</f>
        <v>2910000.0000000005</v>
      </c>
      <c r="BU22" s="87"/>
      <c r="BV22" s="35">
        <f t="shared" si="169"/>
        <v>0</v>
      </c>
      <c r="BW22" s="35">
        <f t="shared" si="170"/>
        <v>2910000.0000000005</v>
      </c>
      <c r="BX22" s="87"/>
      <c r="BY22" s="87">
        <f>IF($A22='Debt Service'!BY$58, 'Debt Service'!BY$53-SUM(BY$11:BY21), 0)</f>
        <v>0</v>
      </c>
      <c r="BZ22" s="8" t="str">
        <f>IF($A22&gt;'Debt Service'!BY$58, "   ",'Debt Service'!BY$54)</f>
        <v xml:space="preserve">   </v>
      </c>
      <c r="CA22" s="87"/>
      <c r="CB22" s="87"/>
      <c r="CC22" s="87">
        <f>IF($A22='Debt Service'!CC$58, 'Debt Service'!CC$53-SUM(CC$11:CC21), 0)</f>
        <v>0</v>
      </c>
      <c r="CD22" s="77" t="str">
        <f t="shared" si="146"/>
        <v xml:space="preserve">   </v>
      </c>
      <c r="CE22" s="87">
        <f>IF(OR($A22&gt;'Debt Service'!CC$58, $A22&lt;CC$51), 0, SUM(CC22:CC$47)*CD22*CC$63/CC$64+SUM(CC23:CC$47)*(CC$64-CC$63)/CC$64*CD22)</f>
        <v>0</v>
      </c>
      <c r="CF22" s="87"/>
      <c r="CG22" s="87">
        <f>IF($A22=CG$58,CG$53-SUM(CG$11:CG21), 0)</f>
        <v>0</v>
      </c>
      <c r="CH22" s="77">
        <f t="shared" si="147"/>
        <v>3.9000000000000007E-2</v>
      </c>
      <c r="CI22" s="87">
        <f>IF($A22&gt;CG$58, 0, SUM(CG22:CG$47)*CH22*CG$63/CG$64+SUM(CG23:CG$47)*(CG$64-CG$63)/CG$64*CH22)</f>
        <v>2925000.0000000005</v>
      </c>
      <c r="CJ22" s="87"/>
      <c r="CK22" s="87">
        <f>IF($A22=CK$58,CK$53-SUM(CK$11:CK21), 0)</f>
        <v>0</v>
      </c>
      <c r="CL22" s="77">
        <f t="shared" si="148"/>
        <v>4.0410000000000001E-2</v>
      </c>
      <c r="CM22" s="87">
        <f>IF($A22&gt;CK$58, 0, SUM(CK22:CK$47)*CL22*CK$63/CK$64+SUM(CK23:CK$47)*(CK$64-CK$63)/CK$64*CL22)</f>
        <v>3030750</v>
      </c>
      <c r="CN22" s="87"/>
      <c r="CO22" s="162">
        <f t="shared" si="149"/>
        <v>0</v>
      </c>
      <c r="CP22" s="87">
        <f t="shared" si="150"/>
        <v>5955750</v>
      </c>
      <c r="CQ22" s="87"/>
      <c r="CR22" s="87">
        <f>IF($A22='Debt Service'!CR$58, 'Debt Service'!CR$53-SUM(CR$11:CR21), 0)</f>
        <v>0</v>
      </c>
      <c r="CS22" s="77" t="str">
        <f t="shared" si="151"/>
        <v xml:space="preserve">   </v>
      </c>
      <c r="CT22" s="87">
        <f>IF($A22&gt;'Debt Service'!CR$58, 0, SUM(CR22:CR$47)*CS22*CR$63/CR$64+SUM(CR23:CR$47)*(CR$64-CR$63)/CR$64*CS22)</f>
        <v>0</v>
      </c>
      <c r="CU22" s="87"/>
      <c r="CV22" s="87">
        <f>IF($A22=CV$58,CV$53-SUM(CV$11:CV21), 0)</f>
        <v>0</v>
      </c>
      <c r="CW22" s="77">
        <f t="shared" si="152"/>
        <v>3.8800000000000008E-2</v>
      </c>
      <c r="CX22" s="87">
        <f>IF($A22&gt;CV$58, 0, SUM(CV22:CV$47)*CW22*CV$63/CV$64+SUM(CV23:CV$47)*(CV$64-CV$63)/CV$64*CW22)</f>
        <v>2910000.0000000005</v>
      </c>
      <c r="CY22" s="87"/>
      <c r="CZ22" s="165">
        <f t="shared" si="153"/>
        <v>0</v>
      </c>
      <c r="DA22" s="165">
        <f t="shared" si="154"/>
        <v>2910000.0000000005</v>
      </c>
      <c r="DB22" s="165"/>
      <c r="DC22" s="87">
        <f t="shared" si="155"/>
        <v>50000000</v>
      </c>
      <c r="DD22" s="77">
        <f t="shared" si="156"/>
        <v>0.04</v>
      </c>
      <c r="DE22" s="87">
        <f t="shared" si="157"/>
        <v>1000000</v>
      </c>
      <c r="DF22" s="165"/>
      <c r="DG22" s="87">
        <f>IF($A22=DG$58,DG$53-SUM(DG$11:DG21), 0)</f>
        <v>0</v>
      </c>
      <c r="DH22" s="77" t="str">
        <f t="shared" si="158"/>
        <v xml:space="preserve">   </v>
      </c>
      <c r="DI22" s="87">
        <f>IF(OR($A22&gt;DG$58,$A22&lt;DG$51), 0, SUM(DG22:DG$47)*DH22*DG$63/DG$64+SUM(DG23:DG$47)*(DG$64-DG$63)/DG$64*DH22)</f>
        <v>0</v>
      </c>
      <c r="DJ22" s="87"/>
      <c r="DK22" s="87">
        <f>IF($A22=DK$58,DK$53-SUM(DK$11:DK21), 0)</f>
        <v>0</v>
      </c>
      <c r="DL22" s="77" t="str">
        <f t="shared" si="159"/>
        <v xml:space="preserve">   </v>
      </c>
      <c r="DM22" s="87">
        <f>IF(OR($A22&gt;DK$58,$A22&lt;DK$51), 0, SUM(DK22:DK$47)*DL22*DK$63/DK$64+SUM(DK23:DK$47)*(DK$64-DK$63)/DK$64*DL22)</f>
        <v>0</v>
      </c>
      <c r="DN22" s="87"/>
      <c r="DO22" s="87">
        <f>IF($A22=DO$58,DO$53-SUM(DO$11:DO21), 0)</f>
        <v>0</v>
      </c>
      <c r="DP22" s="77" t="str">
        <f t="shared" si="160"/>
        <v xml:space="preserve">   </v>
      </c>
      <c r="DQ22" s="87">
        <f>IF(OR($A22&gt;DO$58,$A22&lt;DO$51), 0, SUM(DO22:DO$47)*DP22*DO$63/DO$64+SUM(DO23:DO$47)*(DO$64-DO$63)/DO$64*DP22)</f>
        <v>0</v>
      </c>
      <c r="DR22" s="165"/>
      <c r="DS22" s="87">
        <f>IF($A22=DS$58,DS$53-SUM(DS$11:DS21), 0)</f>
        <v>0</v>
      </c>
      <c r="DT22" s="77" t="str">
        <f t="shared" si="161"/>
        <v xml:space="preserve">   </v>
      </c>
      <c r="DU22" s="87">
        <f>IF(OR($A22&gt;DS$58,$A22&lt;DS$51), 0, SUM(DS22:DS$47)*DT22*DS$63/DS$64+SUM(DS23:DS$47)*(DS$64-DS$63)/DS$64*DT22)</f>
        <v>0</v>
      </c>
      <c r="DV22" s="165"/>
      <c r="DW22" s="165">
        <f t="shared" si="171"/>
        <v>50000000</v>
      </c>
      <c r="DX22" s="165">
        <f t="shared" si="172"/>
        <v>22115880</v>
      </c>
      <c r="DY22" s="87"/>
      <c r="DZ22" s="53">
        <f t="shared" si="162"/>
        <v>2035</v>
      </c>
      <c r="EA22" s="35">
        <f t="shared" si="163"/>
        <v>50000000</v>
      </c>
      <c r="EB22" s="35">
        <f t="shared" si="164"/>
        <v>22115880</v>
      </c>
      <c r="EC22" s="87">
        <f t="shared" si="165"/>
        <v>72115880</v>
      </c>
      <c r="ED22" s="171">
        <f t="shared" si="173"/>
        <v>12</v>
      </c>
      <c r="EE22" s="61">
        <f>EA$53-SUM(EA$10:EA22)</f>
        <v>515000000</v>
      </c>
    </row>
    <row r="23" spans="1:135" s="33" customFormat="1" outlineLevel="1">
      <c r="A23" s="7">
        <f t="shared" si="166"/>
        <v>2036</v>
      </c>
      <c r="B23" s="151">
        <f>Assumptions!B20</f>
        <v>5.3800000000000001E-2</v>
      </c>
      <c r="C23" s="151">
        <f>Assumptions!C20</f>
        <v>5.3800000000000001E-2</v>
      </c>
      <c r="D23" s="151">
        <f>Assumptions!D20</f>
        <v>3.5000000000000003E-2</v>
      </c>
      <c r="E23" s="151">
        <f>Assumptions!E20</f>
        <v>5.2999999999999999E-2</v>
      </c>
      <c r="F23" s="151">
        <f>Assumptions!F20</f>
        <v>0</v>
      </c>
      <c r="G23" s="151">
        <f>Assumptions!G20</f>
        <v>3.0000000000000001E-3</v>
      </c>
      <c r="H23" s="151">
        <f>Assumptions!H20</f>
        <v>8.0000000000000004E-4</v>
      </c>
      <c r="I23" s="151"/>
      <c r="J23" s="151"/>
      <c r="K23" s="151"/>
      <c r="L23" s="86"/>
      <c r="M23" s="87">
        <f>IF($A23=M$58,M$53-SUM(M$11:M22), 0)</f>
        <v>0</v>
      </c>
      <c r="N23" s="8" t="str">
        <f t="shared" si="128"/>
        <v xml:space="preserve">   </v>
      </c>
      <c r="O23" s="87">
        <f>IF($A23&gt;M$58, 0, SUM(M23:M$47)*N23*M$63/M$64+SUM(M24:M$47)*(M$64-M$63)/M$64*N23)</f>
        <v>0</v>
      </c>
      <c r="P23" s="35"/>
      <c r="Q23" s="87">
        <f>IF($A23=Q$58,Q$53-SUM(Q$11:Q22), 0)</f>
        <v>0</v>
      </c>
      <c r="R23" s="8" t="str">
        <f t="shared" si="129"/>
        <v xml:space="preserve">   </v>
      </c>
      <c r="S23" s="87">
        <f>IF($A23&gt;Q$58, 0, SUM(Q23:Q$47)*R23*Q$63/Q$64+SUM(Q24:Q$47)*(Q$64-Q$63)/Q$64*R23)</f>
        <v>0</v>
      </c>
      <c r="T23" s="35"/>
      <c r="U23" s="35">
        <f t="shared" si="130"/>
        <v>0</v>
      </c>
      <c r="V23" s="35">
        <f t="shared" si="131"/>
        <v>0</v>
      </c>
      <c r="W23" s="87"/>
      <c r="X23" s="87">
        <f>IF($A23=X$58,X$53-SUM(X$11:X22), 0)</f>
        <v>0</v>
      </c>
      <c r="Y23" s="8" t="str">
        <f t="shared" si="132"/>
        <v xml:space="preserve">   </v>
      </c>
      <c r="Z23" s="87">
        <f>IF($A23&gt;X$58, 0, SUM(X23:X$47)*Y23*X$63/X$64+SUM(X24:X$47)*(X$64-X$63)/X$64*Y23)</f>
        <v>0</v>
      </c>
      <c r="AA23" s="87"/>
      <c r="AB23" s="87">
        <f>IF($A23=AB$58,AB$53-SUM(AB$11:AB22), 0)</f>
        <v>0</v>
      </c>
      <c r="AC23" s="8" t="str">
        <f t="shared" si="133"/>
        <v xml:space="preserve">   </v>
      </c>
      <c r="AD23" s="87">
        <f>IF($A23&gt;AB$58, 0, SUM(AB23:AB$47)*AC23*AB$63/AB$64+SUM(AB24:AB$47)*(AB$64-AB$63)/AB$64*AC23)</f>
        <v>0</v>
      </c>
      <c r="AE23" s="87"/>
      <c r="AF23" s="87">
        <f>IF($A23=AF$58,AF$53-SUM(AF$11:AF22), 0)</f>
        <v>0</v>
      </c>
      <c r="AG23" s="8">
        <f t="shared" si="134"/>
        <v>5.5E-2</v>
      </c>
      <c r="AH23" s="87">
        <f>IF($A23&gt;AF$58, 0, SUM(AF23:AF$47)*AG23*AF$63/AF$64+SUM(AF24:AF$47)*(AF$64-AF$63)/AF$64*AG23)</f>
        <v>550000</v>
      </c>
      <c r="AI23" s="35"/>
      <c r="AJ23" s="87">
        <f>IF($A23=AJ$58,AJ$53-SUM(AJ$11:AJ22), 0)</f>
        <v>0</v>
      </c>
      <c r="AK23" s="77">
        <f t="shared" si="135"/>
        <v>3.8800000000000008E-2</v>
      </c>
      <c r="AL23" s="87">
        <f>IF($A23&gt;AJ$58, 0, SUM(AJ23:AJ$47)*AK23*AJ$63/AJ$64+SUM(AJ24:AJ$47)*(AJ$64-AJ$63)/AJ$64*AK23)</f>
        <v>1940000.0000000005</v>
      </c>
      <c r="AM23" s="35"/>
      <c r="AN23" s="87">
        <f>IF($A23='Debt Service'!AN$58, 'Debt Service'!AN$53-SUM(AN$11:AN22), 0)</f>
        <v>0</v>
      </c>
      <c r="AO23" s="77" t="str">
        <f t="shared" si="136"/>
        <v xml:space="preserve">   </v>
      </c>
      <c r="AP23" s="87">
        <f>IF($A23&gt;'Debt Service'!AN$58, 0, SUM(AN23:AN$47)*AO23*AN$63/AN$64+SUM(AN24:AN$47)*(AN$64-AN$63)/AN$64*AO23)</f>
        <v>0</v>
      </c>
      <c r="AQ23" s="87"/>
      <c r="AR23" s="87">
        <f>IF($A23=AR$58,AR$53-SUM(AR$11:AR22), 0)</f>
        <v>0</v>
      </c>
      <c r="AS23" s="77">
        <f t="shared" si="137"/>
        <v>4.3546000000000001E-2</v>
      </c>
      <c r="AT23" s="87">
        <f>IF($A23&gt;AR$58, 0, SUM(AR23:AR$47)*AS23*AR$63/AR$64+SUM(AR24:AR$47)*(AR$64-AR$63)/AR$64*AS23)</f>
        <v>2177300</v>
      </c>
      <c r="AV23" s="35">
        <f t="shared" si="138"/>
        <v>0</v>
      </c>
      <c r="AW23" s="35">
        <f t="shared" si="139"/>
        <v>4667300</v>
      </c>
      <c r="AX23" s="87"/>
      <c r="AY23" s="87">
        <f>IF($A23=AY$58,AY$53-SUM(AY$11:AY22), 0)</f>
        <v>0</v>
      </c>
      <c r="AZ23" s="8" t="str">
        <f t="shared" si="140"/>
        <v xml:space="preserve">   </v>
      </c>
      <c r="BA23" s="87">
        <f>IF($A23&gt;AY$58, 0, SUM(AY23:AY$47)*AZ23*AY$63/AY$64+SUM(AY24:AY$47)*(AY$64-AY$63)/AY$64*AZ23)</f>
        <v>0</v>
      </c>
      <c r="BB23" s="61"/>
      <c r="BC23" s="87">
        <f>IF($A23=BC$58,BC$53-SUM(BC$11:BC22), 0)</f>
        <v>0</v>
      </c>
      <c r="BD23" s="77">
        <f t="shared" si="141"/>
        <v>4.3646000000000004E-2</v>
      </c>
      <c r="BE23" s="87">
        <f>IF($A23&gt;BC$58, 0, SUM(BC23:BC$47)*BD23*BC$63/BC$64+SUM(BC24:BC$47)*(BC$64-BC$63)/BC$64*BD23)</f>
        <v>1309380.0000000002</v>
      </c>
      <c r="BF23" s="61"/>
      <c r="BG23" s="87">
        <f>IF($A23=BG$58,BG$53-SUM(BG$11:BG22), 0)</f>
        <v>0</v>
      </c>
      <c r="BH23" s="77">
        <f t="shared" si="142"/>
        <v>4.4846000000000004E-2</v>
      </c>
      <c r="BI23" s="87">
        <f>IF($A23&gt;BG$58, 0, SUM(BG23:BG$47)*BH23*BG$63/BG$64+SUM(BG24:BG$47)*(BG$64-BG$63)/BG$64*BH23)</f>
        <v>3363450.0000000005</v>
      </c>
      <c r="BJ23" s="61"/>
      <c r="BK23" s="35">
        <f t="shared" si="167"/>
        <v>0</v>
      </c>
      <c r="BL23" s="35">
        <f t="shared" si="168"/>
        <v>4672830.0000000009</v>
      </c>
      <c r="BM23" s="86"/>
      <c r="BN23" s="87">
        <f>IF($A23=BN$58,BN$53-SUM(BN$11:BN22), 0)</f>
        <v>0</v>
      </c>
      <c r="BO23" s="8" t="str">
        <f t="shared" si="143"/>
        <v xml:space="preserve">   </v>
      </c>
      <c r="BP23" s="87">
        <f>IF($A23&gt;BN$58, 0, SUM(BN23:BN$47)*BO23*BN$63/BN$64+SUM(BN24:BN$47)*(BN$64-BN$63)/BN$64*BO23)</f>
        <v>0</v>
      </c>
      <c r="BQ23" s="77"/>
      <c r="BR23" s="87">
        <f>IF($A23=BR$58,BR$53-SUM(BR$11:BR22), 0)</f>
        <v>0</v>
      </c>
      <c r="BS23" s="77">
        <f t="shared" si="144"/>
        <v>3.8800000000000008E-2</v>
      </c>
      <c r="BT23" s="87">
        <f>IF($A23&gt;BR$58, 0, SUM(BR23:BR$47)*BS23*BR$63/BR$64+SUM(BR24:BR$47)*(BR$64-BR$63)/BR$64*BS23)</f>
        <v>2910000.0000000005</v>
      </c>
      <c r="BU23" s="87"/>
      <c r="BV23" s="35">
        <f t="shared" si="169"/>
        <v>0</v>
      </c>
      <c r="BW23" s="35">
        <f t="shared" si="170"/>
        <v>2910000.0000000005</v>
      </c>
      <c r="BX23" s="87"/>
      <c r="BY23" s="87">
        <f>IF($A23='Debt Service'!BY$58, 'Debt Service'!BY$53-SUM(BY$11:BY22), 0)</f>
        <v>0</v>
      </c>
      <c r="BZ23" s="8" t="str">
        <f>IF($A23&gt;'Debt Service'!BY$58, "   ",'Debt Service'!BY$54)</f>
        <v xml:space="preserve">   </v>
      </c>
      <c r="CA23" s="87"/>
      <c r="CB23" s="87"/>
      <c r="CC23" s="87">
        <f>IF($A23='Debt Service'!CC$58, 'Debt Service'!CC$53-SUM(CC$11:CC22), 0)</f>
        <v>0</v>
      </c>
      <c r="CD23" s="77" t="str">
        <f t="shared" si="146"/>
        <v xml:space="preserve">   </v>
      </c>
      <c r="CE23" s="87">
        <f>IF(OR($A23&gt;'Debt Service'!CC$58, $A23&lt;CC$51), 0, SUM(CC23:CC$47)*CD23*CC$63/CC$64+SUM(CC24:CC$47)*(CC$64-CC$63)/CC$64*CD23)</f>
        <v>0</v>
      </c>
      <c r="CF23" s="87"/>
      <c r="CG23" s="87">
        <f>IF($A23=CG$58,CG$53-SUM(CG$11:CG22), 0)</f>
        <v>0</v>
      </c>
      <c r="CH23" s="77">
        <f t="shared" si="147"/>
        <v>3.9000000000000007E-2</v>
      </c>
      <c r="CI23" s="87">
        <f>IF($A23&gt;CG$58, 0, SUM(CG23:CG$47)*CH23*CG$63/CG$64+SUM(CG24:CG$47)*(CG$64-CG$63)/CG$64*CH23)</f>
        <v>2925000.0000000005</v>
      </c>
      <c r="CJ23" s="87"/>
      <c r="CK23" s="87">
        <f>IF($A23=CK$58,CK$53-SUM(CK$11:CK22), 0)</f>
        <v>0</v>
      </c>
      <c r="CL23" s="77">
        <f t="shared" si="148"/>
        <v>4.0410000000000001E-2</v>
      </c>
      <c r="CM23" s="87">
        <f>IF($A23&gt;CK$58, 0, SUM(CK23:CK$47)*CL23*CK$63/CK$64+SUM(CK24:CK$47)*(CK$64-CK$63)/CK$64*CL23)</f>
        <v>3030750</v>
      </c>
      <c r="CN23" s="87"/>
      <c r="CO23" s="162">
        <f t="shared" si="149"/>
        <v>0</v>
      </c>
      <c r="CP23" s="87">
        <f t="shared" si="150"/>
        <v>5955750</v>
      </c>
      <c r="CQ23" s="87"/>
      <c r="CR23" s="87">
        <f>IF($A23='Debt Service'!CR$58, 'Debt Service'!CR$53-SUM(CR$11:CR22), 0)</f>
        <v>0</v>
      </c>
      <c r="CS23" s="77" t="str">
        <f t="shared" si="151"/>
        <v xml:space="preserve">   </v>
      </c>
      <c r="CT23" s="87">
        <f>IF($A23&gt;'Debt Service'!CR$58, 0, SUM(CR23:CR$47)*CS23*CR$63/CR$64+SUM(CR24:CR$47)*(CR$64-CR$63)/CR$64*CS23)</f>
        <v>0</v>
      </c>
      <c r="CU23" s="87"/>
      <c r="CV23" s="87">
        <f>IF($A23=CV$58,CV$53-SUM(CV$11:CV22), 0)</f>
        <v>0</v>
      </c>
      <c r="CW23" s="77">
        <f t="shared" si="152"/>
        <v>3.8800000000000008E-2</v>
      </c>
      <c r="CX23" s="87">
        <f>IF($A23&gt;CV$58, 0, SUM(CV23:CV$47)*CW23*CV$63/CV$64+SUM(CV24:CV$47)*(CV$64-CV$63)/CV$64*CW23)</f>
        <v>2910000.0000000005</v>
      </c>
      <c r="CY23" s="87"/>
      <c r="CZ23" s="165">
        <f t="shared" si="153"/>
        <v>0</v>
      </c>
      <c r="DA23" s="165">
        <f t="shared" si="154"/>
        <v>2910000.0000000005</v>
      </c>
      <c r="DB23" s="165"/>
      <c r="DC23" s="87">
        <f t="shared" si="155"/>
        <v>0</v>
      </c>
      <c r="DD23" s="77" t="str">
        <f t="shared" si="156"/>
        <v>---</v>
      </c>
      <c r="DE23" s="87">
        <f t="shared" ref="DE23:DE46" si="174">IF($A23&gt;DC$60, 0, ROUND(((DC23*DD23)+DE24)/2+DE24/2, 2))</f>
        <v>0</v>
      </c>
      <c r="DF23" s="165"/>
      <c r="DG23" s="87">
        <f>IF($A23=DG$58,DG$53-SUM(DG$11:DG22), 0)</f>
        <v>0</v>
      </c>
      <c r="DH23" s="77" t="str">
        <f t="shared" si="158"/>
        <v xml:space="preserve">   </v>
      </c>
      <c r="DI23" s="87">
        <f>IF(OR($A23&gt;DG$58,$A23&lt;DG$51), 0, SUM(DG23:DG$47)*DH23*DG$63/DG$64+SUM(DG24:DG$47)*(DG$64-DG$63)/DG$64*DH23)</f>
        <v>0</v>
      </c>
      <c r="DJ23" s="87"/>
      <c r="DK23" s="87">
        <f>IF($A23=DK$58,DK$53-SUM(DK$11:DK22), 0)</f>
        <v>0</v>
      </c>
      <c r="DL23" s="77" t="str">
        <f t="shared" si="159"/>
        <v xml:space="preserve">   </v>
      </c>
      <c r="DM23" s="87">
        <f>IF(OR($A23&gt;DK$58,$A23&lt;DK$51), 0, SUM(DK23:DK$47)*DL23*DK$63/DK$64+SUM(DK24:DK$47)*(DK$64-DK$63)/DK$64*DL23)</f>
        <v>0</v>
      </c>
      <c r="DN23" s="87"/>
      <c r="DO23" s="87">
        <f>IF($A23=DO$58,DO$53-SUM(DO$11:DO22), 0)</f>
        <v>0</v>
      </c>
      <c r="DP23" s="77" t="str">
        <f t="shared" si="160"/>
        <v xml:space="preserve">   </v>
      </c>
      <c r="DQ23" s="87">
        <f>IF(OR($A23&gt;DO$58,$A23&lt;DO$51), 0, SUM(DO23:DO$47)*DP23*DO$63/DO$64+SUM(DO24:DO$47)*(DO$64-DO$63)/DO$64*DP23)</f>
        <v>0</v>
      </c>
      <c r="DR23" s="165"/>
      <c r="DS23" s="87">
        <f>IF($A23=DS$58,DS$53-SUM(DS$11:DS22), 0)</f>
        <v>0</v>
      </c>
      <c r="DT23" s="77" t="str">
        <f t="shared" si="161"/>
        <v xml:space="preserve">   </v>
      </c>
      <c r="DU23" s="87">
        <f>IF(OR($A23&gt;DS$58,$A23&lt;DS$51), 0, SUM(DS23:DS$47)*DT23*DS$63/DS$64+SUM(DS24:DS$47)*(DS$64-DS$63)/DS$64*DT23)</f>
        <v>0</v>
      </c>
      <c r="DV23" s="165"/>
      <c r="DW23" s="165">
        <f t="shared" si="171"/>
        <v>0</v>
      </c>
      <c r="DX23" s="165">
        <f t="shared" si="172"/>
        <v>21115880</v>
      </c>
      <c r="DY23" s="87"/>
      <c r="DZ23" s="53">
        <f t="shared" si="162"/>
        <v>2036</v>
      </c>
      <c r="EA23" s="35">
        <f t="shared" si="163"/>
        <v>0</v>
      </c>
      <c r="EB23" s="35">
        <f t="shared" si="164"/>
        <v>21115880</v>
      </c>
      <c r="EC23" s="87">
        <f t="shared" si="165"/>
        <v>21115880</v>
      </c>
      <c r="ED23" s="171">
        <f t="shared" si="173"/>
        <v>13</v>
      </c>
      <c r="EE23" s="61">
        <f>EA$53-SUM(EA$10:EA23)</f>
        <v>515000000</v>
      </c>
    </row>
    <row r="24" spans="1:135" s="33" customFormat="1" outlineLevel="1">
      <c r="A24" s="7">
        <f t="shared" si="166"/>
        <v>2037</v>
      </c>
      <c r="B24" s="151">
        <f>Assumptions!B21</f>
        <v>5.3800000000000001E-2</v>
      </c>
      <c r="C24" s="151">
        <f>Assumptions!C21</f>
        <v>5.3800000000000001E-2</v>
      </c>
      <c r="D24" s="151">
        <f>Assumptions!D21</f>
        <v>3.5000000000000003E-2</v>
      </c>
      <c r="E24" s="151">
        <f>Assumptions!E21</f>
        <v>5.2999999999999999E-2</v>
      </c>
      <c r="F24" s="151">
        <f>Assumptions!F21</f>
        <v>0</v>
      </c>
      <c r="G24" s="151">
        <f>Assumptions!G21</f>
        <v>3.0000000000000001E-3</v>
      </c>
      <c r="H24" s="151">
        <f>Assumptions!H21</f>
        <v>8.0000000000000004E-4</v>
      </c>
      <c r="I24" s="151"/>
      <c r="J24" s="151"/>
      <c r="K24" s="151"/>
      <c r="L24" s="86"/>
      <c r="M24" s="87">
        <f>IF($A24=M$58,M$53-SUM(M$11:M23), 0)</f>
        <v>0</v>
      </c>
      <c r="N24" s="8" t="str">
        <f t="shared" si="128"/>
        <v xml:space="preserve">   </v>
      </c>
      <c r="O24" s="87">
        <f>IF($A24&gt;M$58, 0, SUM(M24:M$47)*N24*M$63/M$64+SUM(M25:M$47)*(M$64-M$63)/M$64*N24)</f>
        <v>0</v>
      </c>
      <c r="P24" s="35"/>
      <c r="Q24" s="87">
        <f>IF($A24=Q$58,Q$53-SUM(Q$11:Q23), 0)</f>
        <v>0</v>
      </c>
      <c r="R24" s="8" t="str">
        <f t="shared" si="129"/>
        <v xml:space="preserve">   </v>
      </c>
      <c r="S24" s="87">
        <f>IF($A24&gt;Q$58, 0, SUM(Q24:Q$47)*R24*Q$63/Q$64+SUM(Q25:Q$47)*(Q$64-Q$63)/Q$64*R24)</f>
        <v>0</v>
      </c>
      <c r="T24" s="35"/>
      <c r="U24" s="35">
        <f t="shared" si="130"/>
        <v>0</v>
      </c>
      <c r="V24" s="35">
        <f t="shared" si="131"/>
        <v>0</v>
      </c>
      <c r="W24" s="87"/>
      <c r="X24" s="87">
        <f>IF($A24=X$58,X$53-SUM(X$11:X23), 0)</f>
        <v>0</v>
      </c>
      <c r="Y24" s="8" t="str">
        <f t="shared" si="132"/>
        <v xml:space="preserve">   </v>
      </c>
      <c r="Z24" s="87">
        <f>IF($A24&gt;X$58, 0, SUM(X24:X$47)*Y24*X$63/X$64+SUM(X25:X$47)*(X$64-X$63)/X$64*Y24)</f>
        <v>0</v>
      </c>
      <c r="AA24" s="87"/>
      <c r="AB24" s="87">
        <f>IF($A24=AB$58,AB$53-SUM(AB$11:AB23), 0)</f>
        <v>0</v>
      </c>
      <c r="AC24" s="8" t="str">
        <f t="shared" si="133"/>
        <v xml:space="preserve">   </v>
      </c>
      <c r="AD24" s="87">
        <f>IF($A24&gt;AB$58, 0, SUM(AB24:AB$47)*AC24*AB$63/AB$64+SUM(AB25:AB$47)*(AB$64-AB$63)/AB$64*AC24)</f>
        <v>0</v>
      </c>
      <c r="AE24" s="87"/>
      <c r="AF24" s="87">
        <f>IF($A24=AF$58,AF$53-SUM(AF$11:AF23), 0)</f>
        <v>10000000</v>
      </c>
      <c r="AG24" s="8">
        <f t="shared" si="134"/>
        <v>5.5E-2</v>
      </c>
      <c r="AH24" s="87">
        <f>IF($A24&gt;AF$58, 0, SUM(AF24:AF$47)*AG24*AF$63/AF$64+SUM(AF25:AF$47)*(AF$64-AF$63)/AF$64*AG24)</f>
        <v>275000</v>
      </c>
      <c r="AI24" s="35"/>
      <c r="AJ24" s="87">
        <f>IF($A24=AJ$58,AJ$53-SUM(AJ$11:AJ23), 0)</f>
        <v>0</v>
      </c>
      <c r="AK24" s="77">
        <f t="shared" si="135"/>
        <v>3.8800000000000008E-2</v>
      </c>
      <c r="AL24" s="87">
        <f>IF($A24&gt;AJ$58, 0, SUM(AJ24:AJ$47)*AK24*AJ$63/AJ$64+SUM(AJ25:AJ$47)*(AJ$64-AJ$63)/AJ$64*AK24)</f>
        <v>1940000.0000000005</v>
      </c>
      <c r="AM24" s="35"/>
      <c r="AN24" s="87">
        <f>IF($A24='Debt Service'!AN$58, 'Debt Service'!AN$53-SUM(AN$11:AN23), 0)</f>
        <v>0</v>
      </c>
      <c r="AO24" s="77" t="str">
        <f t="shared" si="136"/>
        <v xml:space="preserve">   </v>
      </c>
      <c r="AP24" s="87">
        <f>IF($A24&gt;'Debt Service'!AN$58, 0, SUM(AN24:AN$47)*AO24*AN$63/AN$64+SUM(AN25:AN$47)*(AN$64-AN$63)/AN$64*AO24)</f>
        <v>0</v>
      </c>
      <c r="AQ24" s="87"/>
      <c r="AR24" s="87">
        <f>IF($A24=AR$58,AR$53-SUM(AR$11:AR23), 0)</f>
        <v>50000000</v>
      </c>
      <c r="AS24" s="77">
        <f t="shared" si="137"/>
        <v>4.3546000000000001E-2</v>
      </c>
      <c r="AT24" s="87">
        <f>IF($A24&gt;AR$58, 0, SUM(AR24:AR$47)*AS24*AR$63/AR$64+SUM(AR25:AR$47)*(AR$64-AR$63)/AR$64*AS24)</f>
        <v>1088650</v>
      </c>
      <c r="AV24" s="35">
        <f t="shared" si="138"/>
        <v>60000000</v>
      </c>
      <c r="AW24" s="35">
        <f t="shared" si="139"/>
        <v>3303650.0000000005</v>
      </c>
      <c r="AX24" s="87"/>
      <c r="AY24" s="87">
        <f>IF($A24=AY$58,AY$53-SUM(AY$11:AY23), 0)</f>
        <v>0</v>
      </c>
      <c r="AZ24" s="8" t="str">
        <f t="shared" si="140"/>
        <v xml:space="preserve">   </v>
      </c>
      <c r="BA24" s="87">
        <f>IF($A24&gt;AY$58, 0, SUM(AY24:AY$47)*AZ24*AY$63/AY$64+SUM(AY25:AY$47)*(AY$64-AY$63)/AY$64*AZ24)</f>
        <v>0</v>
      </c>
      <c r="BB24" s="61"/>
      <c r="BC24" s="87">
        <f>IF($A24=BC$58,BC$53-SUM(BC$11:BC23), 0)</f>
        <v>0</v>
      </c>
      <c r="BD24" s="77">
        <f t="shared" si="141"/>
        <v>4.3646000000000004E-2</v>
      </c>
      <c r="BE24" s="87">
        <f>IF($A24&gt;BC$58, 0, SUM(BC24:BC$47)*BD24*BC$63/BC$64+SUM(BC25:BC$47)*(BC$64-BC$63)/BC$64*BD24)</f>
        <v>1309380.0000000002</v>
      </c>
      <c r="BF24" s="61"/>
      <c r="BG24" s="87">
        <f>IF($A24=BG$58,BG$53-SUM(BG$11:BG23), 0)</f>
        <v>0</v>
      </c>
      <c r="BH24" s="77">
        <f t="shared" si="142"/>
        <v>4.4846000000000004E-2</v>
      </c>
      <c r="BI24" s="87">
        <f>IF($A24&gt;BG$58, 0, SUM(BG24:BG$47)*BH24*BG$63/BG$64+SUM(BG25:BG$47)*(BG$64-BG$63)/BG$64*BH24)</f>
        <v>3363450.0000000005</v>
      </c>
      <c r="BJ24" s="61"/>
      <c r="BK24" s="35">
        <f t="shared" si="167"/>
        <v>0</v>
      </c>
      <c r="BL24" s="35">
        <f t="shared" si="168"/>
        <v>4672830.0000000009</v>
      </c>
      <c r="BM24" s="86"/>
      <c r="BN24" s="87">
        <f>IF($A24=BN$58,BN$53-SUM(BN$11:BN23), 0)</f>
        <v>0</v>
      </c>
      <c r="BO24" s="8" t="str">
        <f t="shared" si="143"/>
        <v xml:space="preserve">   </v>
      </c>
      <c r="BP24" s="87">
        <f>IF($A24&gt;BN$58, 0, SUM(BN24:BN$47)*BO24*BN$63/BN$64+SUM(BN25:BN$47)*(BN$64-BN$63)/BN$64*BO24)</f>
        <v>0</v>
      </c>
      <c r="BQ24" s="77"/>
      <c r="BR24" s="87">
        <f>IF($A24=BR$58,BR$53-SUM(BR$11:BR23), 0)</f>
        <v>0</v>
      </c>
      <c r="BS24" s="77">
        <f t="shared" si="144"/>
        <v>3.8800000000000008E-2</v>
      </c>
      <c r="BT24" s="87">
        <f>IF($A24&gt;BR$58, 0, SUM(BR24:BR$47)*BS24*BR$63/BR$64+SUM(BR25:BR$47)*(BR$64-BR$63)/BR$64*BS24)</f>
        <v>2910000.0000000005</v>
      </c>
      <c r="BU24" s="87"/>
      <c r="BV24" s="35">
        <f t="shared" si="169"/>
        <v>0</v>
      </c>
      <c r="BW24" s="35">
        <f t="shared" si="170"/>
        <v>2910000.0000000005</v>
      </c>
      <c r="BX24" s="87"/>
      <c r="BY24" s="87">
        <f>IF($A24='Debt Service'!BY$58, 'Debt Service'!BY$53-SUM(BY$11:BY23), 0)</f>
        <v>0</v>
      </c>
      <c r="BZ24" s="8" t="str">
        <f>IF($A24&gt;'Debt Service'!BY$58, "   ",'Debt Service'!BY$54)</f>
        <v xml:space="preserve">   </v>
      </c>
      <c r="CA24" s="87"/>
      <c r="CB24" s="87"/>
      <c r="CC24" s="87">
        <f>IF($A24='Debt Service'!CC$58, 'Debt Service'!CC$53-SUM(CC$11:CC23), 0)</f>
        <v>0</v>
      </c>
      <c r="CD24" s="77" t="str">
        <f t="shared" si="146"/>
        <v xml:space="preserve">   </v>
      </c>
      <c r="CE24" s="87">
        <f>IF(OR($A24&gt;'Debt Service'!CC$58, $A24&lt;CC$51), 0, SUM(CC24:CC$47)*CD24*CC$63/CC$64+SUM(CC25:CC$47)*(CC$64-CC$63)/CC$64*CD24)</f>
        <v>0</v>
      </c>
      <c r="CF24" s="87"/>
      <c r="CG24" s="87">
        <f>IF($A24=CG$58,CG$53-SUM(CG$11:CG23), 0)</f>
        <v>0</v>
      </c>
      <c r="CH24" s="77">
        <f t="shared" si="147"/>
        <v>3.9000000000000007E-2</v>
      </c>
      <c r="CI24" s="87">
        <f>IF($A24&gt;CG$58, 0, SUM(CG24:CG$47)*CH24*CG$63/CG$64+SUM(CG25:CG$47)*(CG$64-CG$63)/CG$64*CH24)</f>
        <v>2925000.0000000005</v>
      </c>
      <c r="CJ24" s="87"/>
      <c r="CK24" s="87">
        <f>IF($A24=CK$58,CK$53-SUM(CK$11:CK23), 0)</f>
        <v>0</v>
      </c>
      <c r="CL24" s="77">
        <f t="shared" si="148"/>
        <v>4.0410000000000001E-2</v>
      </c>
      <c r="CM24" s="87">
        <f>IF($A24&gt;CK$58, 0, SUM(CK24:CK$47)*CL24*CK$63/CK$64+SUM(CK25:CK$47)*(CK$64-CK$63)/CK$64*CL24)</f>
        <v>3030750</v>
      </c>
      <c r="CN24" s="87"/>
      <c r="CO24" s="162">
        <f t="shared" si="149"/>
        <v>0</v>
      </c>
      <c r="CP24" s="87">
        <f t="shared" si="150"/>
        <v>5955750</v>
      </c>
      <c r="CQ24" s="87"/>
      <c r="CR24" s="87">
        <f>IF($A24='Debt Service'!CR$58, 'Debt Service'!CR$53-SUM(CR$11:CR23), 0)</f>
        <v>0</v>
      </c>
      <c r="CS24" s="77" t="str">
        <f t="shared" si="151"/>
        <v xml:space="preserve">   </v>
      </c>
      <c r="CT24" s="87">
        <f>IF($A24&gt;'Debt Service'!CR$58, 0, SUM(CR24:CR$47)*CS24*CR$63/CR$64+SUM(CR25:CR$47)*(CR$64-CR$63)/CR$64*CS24)</f>
        <v>0</v>
      </c>
      <c r="CU24" s="87"/>
      <c r="CV24" s="87">
        <f>IF($A24=CV$58,CV$53-SUM(CV$11:CV23), 0)</f>
        <v>0</v>
      </c>
      <c r="CW24" s="77">
        <f t="shared" si="152"/>
        <v>3.8800000000000008E-2</v>
      </c>
      <c r="CX24" s="87">
        <f>IF($A24&gt;CV$58, 0, SUM(CV24:CV$47)*CW24*CV$63/CV$64+SUM(CV25:CV$47)*(CV$64-CV$63)/CV$64*CW24)</f>
        <v>2910000.0000000005</v>
      </c>
      <c r="CY24" s="87"/>
      <c r="CZ24" s="165">
        <f t="shared" si="153"/>
        <v>0</v>
      </c>
      <c r="DA24" s="165">
        <f t="shared" si="154"/>
        <v>2910000.0000000005</v>
      </c>
      <c r="DB24" s="165"/>
      <c r="DC24" s="87">
        <f t="shared" si="155"/>
        <v>0</v>
      </c>
      <c r="DD24" s="77" t="str">
        <f t="shared" si="156"/>
        <v>---</v>
      </c>
      <c r="DE24" s="87">
        <f t="shared" si="174"/>
        <v>0</v>
      </c>
      <c r="DF24" s="165"/>
      <c r="DG24" s="87">
        <f>IF($A24=DG$58,DG$53-SUM(DG$11:DG23), 0)</f>
        <v>0</v>
      </c>
      <c r="DH24" s="77" t="str">
        <f t="shared" si="158"/>
        <v xml:space="preserve">   </v>
      </c>
      <c r="DI24" s="87">
        <f>IF(OR($A24&gt;DG$58,$A24&lt;DG$51), 0, SUM(DG24:DG$47)*DH24*DG$63/DG$64+SUM(DG25:DG$47)*(DG$64-DG$63)/DG$64*DH24)</f>
        <v>0</v>
      </c>
      <c r="DJ24" s="87"/>
      <c r="DK24" s="87">
        <f>IF($A24=DK$58,DK$53-SUM(DK$11:DK23), 0)</f>
        <v>0</v>
      </c>
      <c r="DL24" s="77" t="str">
        <f t="shared" si="159"/>
        <v xml:space="preserve">   </v>
      </c>
      <c r="DM24" s="87">
        <f>IF(OR($A24&gt;DK$58,$A24&lt;DK$51), 0, SUM(DK24:DK$47)*DL24*DK$63/DK$64+SUM(DK25:DK$47)*(DK$64-DK$63)/DK$64*DL24)</f>
        <v>0</v>
      </c>
      <c r="DN24" s="87"/>
      <c r="DO24" s="87">
        <f>IF($A24=DO$58,DO$53-SUM(DO$11:DO23), 0)</f>
        <v>0</v>
      </c>
      <c r="DP24" s="77" t="str">
        <f t="shared" si="160"/>
        <v xml:space="preserve">   </v>
      </c>
      <c r="DQ24" s="87">
        <f>IF(OR($A24&gt;DO$58,$A24&lt;DO$51), 0, SUM(DO24:DO$47)*DP24*DO$63/DO$64+SUM(DO25:DO$47)*(DO$64-DO$63)/DO$64*DP24)</f>
        <v>0</v>
      </c>
      <c r="DR24" s="165"/>
      <c r="DS24" s="87">
        <f>IF($A24=DS$58,DS$53-SUM(DS$11:DS23), 0)</f>
        <v>0</v>
      </c>
      <c r="DT24" s="77" t="str">
        <f t="shared" si="161"/>
        <v xml:space="preserve">   </v>
      </c>
      <c r="DU24" s="87">
        <f>IF(OR($A24&gt;DS$58,$A24&lt;DS$51), 0, SUM(DS24:DS$47)*DT24*DS$63/DS$64+SUM(DS25:DS$47)*(DS$64-DS$63)/DS$64*DT24)</f>
        <v>0</v>
      </c>
      <c r="DV24" s="165"/>
      <c r="DW24" s="165">
        <f t="shared" si="171"/>
        <v>60000000</v>
      </c>
      <c r="DX24" s="165">
        <f t="shared" si="172"/>
        <v>19752230</v>
      </c>
      <c r="DY24" s="87"/>
      <c r="DZ24" s="53">
        <f t="shared" si="162"/>
        <v>2037</v>
      </c>
      <c r="EA24" s="35">
        <f t="shared" si="163"/>
        <v>60000000</v>
      </c>
      <c r="EB24" s="35">
        <f t="shared" si="164"/>
        <v>19752230</v>
      </c>
      <c r="EC24" s="87">
        <f t="shared" si="165"/>
        <v>79752230</v>
      </c>
      <c r="ED24" s="171">
        <f t="shared" si="173"/>
        <v>14</v>
      </c>
      <c r="EE24" s="61">
        <f>EA$53-SUM(EA$10:EA24)</f>
        <v>455000000</v>
      </c>
    </row>
    <row r="25" spans="1:135" s="33" customFormat="1" outlineLevel="1">
      <c r="A25" s="7">
        <f t="shared" si="166"/>
        <v>2038</v>
      </c>
      <c r="B25" s="151">
        <f>Assumptions!B22</f>
        <v>5.3800000000000001E-2</v>
      </c>
      <c r="C25" s="151">
        <f>Assumptions!C22</f>
        <v>5.3800000000000001E-2</v>
      </c>
      <c r="D25" s="151">
        <f>Assumptions!D22</f>
        <v>3.5000000000000003E-2</v>
      </c>
      <c r="E25" s="151">
        <f>Assumptions!E22</f>
        <v>5.2999999999999999E-2</v>
      </c>
      <c r="F25" s="151">
        <f>Assumptions!F22</f>
        <v>0</v>
      </c>
      <c r="G25" s="151">
        <f>Assumptions!G22</f>
        <v>3.0000000000000001E-3</v>
      </c>
      <c r="H25" s="151">
        <f>Assumptions!H22</f>
        <v>8.0000000000000004E-4</v>
      </c>
      <c r="I25" s="151"/>
      <c r="J25" s="151"/>
      <c r="K25" s="151"/>
      <c r="L25" s="8"/>
      <c r="M25" s="87">
        <f>IF($A25=M$58,M$53-SUM(M$11:M24), 0)</f>
        <v>0</v>
      </c>
      <c r="N25" s="8" t="str">
        <f t="shared" si="128"/>
        <v xml:space="preserve">   </v>
      </c>
      <c r="O25" s="87">
        <f>IF($A25&gt;M$58, 0, SUM(M25:M$47)*N25*M$63/M$64+SUM(M26:M$47)*(M$64-M$63)/M$64*N25)</f>
        <v>0</v>
      </c>
      <c r="P25" s="35"/>
      <c r="Q25" s="87">
        <f>IF($A25=Q$58,Q$53-SUM(Q$11:Q24), 0)</f>
        <v>0</v>
      </c>
      <c r="R25" s="8" t="str">
        <f t="shared" si="129"/>
        <v xml:space="preserve">   </v>
      </c>
      <c r="S25" s="87">
        <f>IF($A25&gt;Q$58, 0, SUM(Q25:Q$47)*R25*Q$63/Q$64+SUM(Q26:Q$47)*(Q$64-Q$63)/Q$64*R25)</f>
        <v>0</v>
      </c>
      <c r="T25" s="35"/>
      <c r="U25" s="35">
        <f t="shared" si="130"/>
        <v>0</v>
      </c>
      <c r="V25" s="35">
        <f t="shared" si="131"/>
        <v>0</v>
      </c>
      <c r="W25" s="35"/>
      <c r="X25" s="87">
        <f>IF($A25=X$58,X$53-SUM(X$11:X24), 0)</f>
        <v>0</v>
      </c>
      <c r="Y25" s="8" t="str">
        <f t="shared" si="132"/>
        <v xml:space="preserve">   </v>
      </c>
      <c r="Z25" s="87">
        <f>IF($A25&gt;X$58, 0, SUM(X25:X$47)*Y25*X$63/X$64+SUM(X26:X$47)*(X$64-X$63)/X$64*Y25)</f>
        <v>0</v>
      </c>
      <c r="AA25" s="87"/>
      <c r="AB25" s="87">
        <f>IF($A25=AB$58,AB$53-SUM(AB$11:AB24), 0)</f>
        <v>0</v>
      </c>
      <c r="AC25" s="8" t="str">
        <f t="shared" si="133"/>
        <v xml:space="preserve">   </v>
      </c>
      <c r="AD25" s="87">
        <f>IF($A25&gt;AB$58, 0, SUM(AB25:AB$47)*AC25*AB$63/AB$64+SUM(AB26:AB$47)*(AB$64-AB$63)/AB$64*AC25)</f>
        <v>0</v>
      </c>
      <c r="AE25" s="35"/>
      <c r="AF25" s="87">
        <f>IF($A25=AF$58,AF$53-SUM(AF$11:AF24), 0)</f>
        <v>0</v>
      </c>
      <c r="AG25" s="8" t="str">
        <f t="shared" si="134"/>
        <v xml:space="preserve">   </v>
      </c>
      <c r="AH25" s="87">
        <f>IF($A25&gt;AF$58, 0, SUM(AF25:AF$47)*AG25*AF$63/AF$64+SUM(AF26:AF$47)*(AF$64-AF$63)/AF$64*AG25)</f>
        <v>0</v>
      </c>
      <c r="AI25" s="35"/>
      <c r="AJ25" s="87">
        <f>IF($A25=AJ$58,AJ$53-SUM(AJ$11:AJ24), 0)</f>
        <v>0</v>
      </c>
      <c r="AK25" s="77">
        <f t="shared" si="135"/>
        <v>3.8800000000000008E-2</v>
      </c>
      <c r="AL25" s="87">
        <f>IF($A25&gt;AJ$58, 0, SUM(AJ25:AJ$47)*AK25*AJ$63/AJ$64+SUM(AJ26:AJ$47)*(AJ$64-AJ$63)/AJ$64*AK25)</f>
        <v>1940000.0000000005</v>
      </c>
      <c r="AM25" s="35"/>
      <c r="AN25" s="87">
        <f>IF($A25='Debt Service'!AN$58, 'Debt Service'!AN$53-SUM(AN$11:AN24), 0)</f>
        <v>0</v>
      </c>
      <c r="AO25" s="77" t="str">
        <f t="shared" si="136"/>
        <v xml:space="preserve">   </v>
      </c>
      <c r="AP25" s="87">
        <f>IF($A25&gt;'Debt Service'!AN$58, 0, SUM(AN25:AN$47)*AO25*AN$63/AN$64+SUM(AN26:AN$47)*(AN$64-AN$63)/AN$64*AO25)</f>
        <v>0</v>
      </c>
      <c r="AQ25" s="35"/>
      <c r="AR25" s="87">
        <f>IF($A25=AR$58,AR$53-SUM(AR$11:AR24), 0)</f>
        <v>0</v>
      </c>
      <c r="AS25" s="77" t="str">
        <f t="shared" si="137"/>
        <v xml:space="preserve">   </v>
      </c>
      <c r="AT25" s="87">
        <f>IF($A25&gt;AR$58, 0, SUM(AR25:AR$47)*AS25*AR$63/AR$64+SUM(AR26:AR$47)*(AR$64-AR$63)/AR$64*AS25)</f>
        <v>0</v>
      </c>
      <c r="AV25" s="35">
        <f t="shared" si="138"/>
        <v>0</v>
      </c>
      <c r="AW25" s="35">
        <f t="shared" si="139"/>
        <v>1940000.0000000005</v>
      </c>
      <c r="AX25" s="35"/>
      <c r="AY25" s="87">
        <f>IF($A25=AY$58,AY$53-SUM(AY$11:AY24), 0)</f>
        <v>0</v>
      </c>
      <c r="AZ25" s="8" t="str">
        <f t="shared" si="140"/>
        <v xml:space="preserve">   </v>
      </c>
      <c r="BA25" s="87">
        <f>IF($A25&gt;AY$58, 0, SUM(AY25:AY$47)*AZ25*AY$63/AY$64+SUM(AY26:AY$47)*(AY$64-AY$63)/AY$64*AZ25)</f>
        <v>0</v>
      </c>
      <c r="BB25" s="61"/>
      <c r="BC25" s="87">
        <f>IF($A25=BC$58,BC$53-SUM(BC$11:BC24), 0)</f>
        <v>0</v>
      </c>
      <c r="BD25" s="77">
        <f t="shared" si="141"/>
        <v>4.3646000000000004E-2</v>
      </c>
      <c r="BE25" s="87">
        <f>IF($A25&gt;BC$58, 0, SUM(BC25:BC$47)*BD25*BC$63/BC$64+SUM(BC26:BC$47)*(BC$64-BC$63)/BC$64*BD25)</f>
        <v>1309380.0000000002</v>
      </c>
      <c r="BF25" s="61"/>
      <c r="BG25" s="87">
        <f>IF($A25=BG$58,BG$53-SUM(BG$11:BG24), 0)</f>
        <v>0</v>
      </c>
      <c r="BH25" s="77">
        <f t="shared" si="142"/>
        <v>4.4846000000000004E-2</v>
      </c>
      <c r="BI25" s="87">
        <f>IF($A25&gt;BG$58, 0, SUM(BG25:BG$47)*BH25*BG$63/BG$64+SUM(BG26:BG$47)*(BG$64-BG$63)/BG$64*BH25)</f>
        <v>3363450.0000000005</v>
      </c>
      <c r="BJ25" s="61"/>
      <c r="BK25" s="35">
        <f t="shared" si="167"/>
        <v>0</v>
      </c>
      <c r="BL25" s="35">
        <f t="shared" si="168"/>
        <v>4672830.0000000009</v>
      </c>
      <c r="BM25" s="8"/>
      <c r="BN25" s="87">
        <f>IF($A25=BN$58,BN$53-SUM(BN$11:BN24), 0)</f>
        <v>0</v>
      </c>
      <c r="BO25" s="8" t="str">
        <f t="shared" si="143"/>
        <v xml:space="preserve">   </v>
      </c>
      <c r="BP25" s="87">
        <f>IF($A25&gt;BN$58, 0, SUM(BN25:BN$47)*BO25*BN$63/BN$64+SUM(BN26:BN$47)*(BN$64-BN$63)/BN$64*BO25)</f>
        <v>0</v>
      </c>
      <c r="BQ25" s="77"/>
      <c r="BR25" s="87">
        <f>IF($A25=BR$58,BR$53-SUM(BR$11:BR24), 0)</f>
        <v>0</v>
      </c>
      <c r="BS25" s="77">
        <f t="shared" si="144"/>
        <v>3.8800000000000008E-2</v>
      </c>
      <c r="BT25" s="87">
        <f>IF($A25&gt;BR$58, 0, SUM(BR25:BR$47)*BS25*BR$63/BR$64+SUM(BR26:BR$47)*(BR$64-BR$63)/BR$64*BS25)</f>
        <v>2910000.0000000005</v>
      </c>
      <c r="BU25" s="87"/>
      <c r="BV25" s="35">
        <f t="shared" si="169"/>
        <v>0</v>
      </c>
      <c r="BW25" s="35">
        <f t="shared" si="170"/>
        <v>2910000.0000000005</v>
      </c>
      <c r="BX25" s="87"/>
      <c r="BY25" s="87">
        <f>IF($A25='Debt Service'!BY$58, 'Debt Service'!BY$53-SUM(BY$11:BY24), 0)</f>
        <v>0</v>
      </c>
      <c r="BZ25" s="8" t="str">
        <f>IF($A25&gt;'Debt Service'!BY$58, "   ",'Debt Service'!BY$54)</f>
        <v xml:space="preserve">   </v>
      </c>
      <c r="CA25" s="87"/>
      <c r="CB25" s="87"/>
      <c r="CC25" s="87">
        <f>IF($A25='Debt Service'!CC$58, 'Debt Service'!CC$53-SUM(CC$11:CC24), 0)</f>
        <v>0</v>
      </c>
      <c r="CD25" s="77" t="str">
        <f t="shared" si="146"/>
        <v xml:space="preserve">   </v>
      </c>
      <c r="CE25" s="87">
        <f>IF(OR($A25&gt;'Debt Service'!CC$58, $A25&lt;CC$51), 0, SUM(CC25:CC$47)*CD25*CC$63/CC$64+SUM(CC26:CC$47)*(CC$64-CC$63)/CC$64*CD25)</f>
        <v>0</v>
      </c>
      <c r="CF25" s="87"/>
      <c r="CG25" s="87">
        <f>IF($A25=CG$58,CG$53-SUM(CG$11:CG24), 0)</f>
        <v>0</v>
      </c>
      <c r="CH25" s="77">
        <f t="shared" si="147"/>
        <v>3.9000000000000007E-2</v>
      </c>
      <c r="CI25" s="87">
        <f>IF($A25&gt;CG$58, 0, SUM(CG25:CG$47)*CH25*CG$63/CG$64+SUM(CG26:CG$47)*(CG$64-CG$63)/CG$64*CH25)</f>
        <v>2925000.0000000005</v>
      </c>
      <c r="CJ25" s="87"/>
      <c r="CK25" s="87">
        <f>IF($A25=CK$58,CK$53-SUM(CK$11:CK24), 0)</f>
        <v>0</v>
      </c>
      <c r="CL25" s="77">
        <f t="shared" si="148"/>
        <v>4.0410000000000001E-2</v>
      </c>
      <c r="CM25" s="87">
        <f>IF($A25&gt;CK$58, 0, SUM(CK25:CK$47)*CL25*CK$63/CK$64+SUM(CK26:CK$47)*(CK$64-CK$63)/CK$64*CL25)</f>
        <v>3030750</v>
      </c>
      <c r="CN25" s="87"/>
      <c r="CO25" s="162">
        <f t="shared" si="149"/>
        <v>0</v>
      </c>
      <c r="CP25" s="87">
        <f t="shared" si="150"/>
        <v>5955750</v>
      </c>
      <c r="CQ25" s="87"/>
      <c r="CR25" s="87">
        <f>IF($A25='Debt Service'!CR$58, 'Debt Service'!CR$53-SUM(CR$11:CR24), 0)</f>
        <v>0</v>
      </c>
      <c r="CS25" s="77" t="str">
        <f t="shared" si="151"/>
        <v xml:space="preserve">   </v>
      </c>
      <c r="CT25" s="87">
        <f>IF($A25&gt;'Debt Service'!CR$58, 0, SUM(CR25:CR$47)*CS25*CR$63/CR$64+SUM(CR26:CR$47)*(CR$64-CR$63)/CR$64*CS25)</f>
        <v>0</v>
      </c>
      <c r="CU25" s="87"/>
      <c r="CV25" s="87">
        <f>IF($A25=CV$58,CV$53-SUM(CV$11:CV24), 0)</f>
        <v>0</v>
      </c>
      <c r="CW25" s="77">
        <f t="shared" si="152"/>
        <v>3.8800000000000008E-2</v>
      </c>
      <c r="CX25" s="87">
        <f>IF($A25&gt;CV$58, 0, SUM(CV25:CV$47)*CW25*CV$63/CV$64+SUM(CV26:CV$47)*(CV$64-CV$63)/CV$64*CW25)</f>
        <v>2910000.0000000005</v>
      </c>
      <c r="CY25" s="87"/>
      <c r="CZ25" s="165">
        <f t="shared" si="153"/>
        <v>0</v>
      </c>
      <c r="DA25" s="165">
        <f t="shared" si="154"/>
        <v>2910000.0000000005</v>
      </c>
      <c r="DB25" s="165"/>
      <c r="DC25" s="87">
        <f t="shared" si="155"/>
        <v>0</v>
      </c>
      <c r="DD25" s="77" t="str">
        <f t="shared" si="156"/>
        <v>---</v>
      </c>
      <c r="DE25" s="87">
        <f t="shared" si="174"/>
        <v>0</v>
      </c>
      <c r="DF25" s="165"/>
      <c r="DG25" s="87">
        <f>IF($A25=DG$58,DG$53-SUM(DG$11:DG24), 0)</f>
        <v>0</v>
      </c>
      <c r="DH25" s="77" t="str">
        <f t="shared" si="158"/>
        <v xml:space="preserve">   </v>
      </c>
      <c r="DI25" s="87">
        <f>IF(OR($A25&gt;DG$58,$A25&lt;DG$51), 0, SUM(DG25:DG$47)*DH25*DG$63/DG$64+SUM(DG26:DG$47)*(DG$64-DG$63)/DG$64*DH25)</f>
        <v>0</v>
      </c>
      <c r="DJ25" s="87"/>
      <c r="DK25" s="87">
        <f>IF($A25=DK$58,DK$53-SUM(DK$11:DK24), 0)</f>
        <v>0</v>
      </c>
      <c r="DL25" s="77" t="str">
        <f t="shared" si="159"/>
        <v xml:space="preserve">   </v>
      </c>
      <c r="DM25" s="87">
        <f>IF(OR($A25&gt;DK$58,$A25&lt;DK$51), 0, SUM(DK25:DK$47)*DL25*DK$63/DK$64+SUM(DK26:DK$47)*(DK$64-DK$63)/DK$64*DL25)</f>
        <v>0</v>
      </c>
      <c r="DN25" s="87"/>
      <c r="DO25" s="87">
        <f>IF($A25=DO$58,DO$53-SUM(DO$11:DO24), 0)</f>
        <v>0</v>
      </c>
      <c r="DP25" s="77" t="str">
        <f t="shared" si="160"/>
        <v xml:space="preserve">   </v>
      </c>
      <c r="DQ25" s="87">
        <f>IF(OR($A25&gt;DO$58,$A25&lt;DO$51), 0, SUM(DO25:DO$47)*DP25*DO$63/DO$64+SUM(DO26:DO$47)*(DO$64-DO$63)/DO$64*DP25)</f>
        <v>0</v>
      </c>
      <c r="DR25" s="165"/>
      <c r="DS25" s="87">
        <f>IF($A25=DS$58,DS$53-SUM(DS$11:DS24), 0)</f>
        <v>0</v>
      </c>
      <c r="DT25" s="77" t="str">
        <f t="shared" si="161"/>
        <v xml:space="preserve">   </v>
      </c>
      <c r="DU25" s="87">
        <f>IF(OR($A25&gt;DS$58,$A25&lt;DS$51), 0, SUM(DS25:DS$47)*DT25*DS$63/DS$64+SUM(DS26:DS$47)*(DS$64-DS$63)/DS$64*DT25)</f>
        <v>0</v>
      </c>
      <c r="DV25" s="165"/>
      <c r="DW25" s="165">
        <f t="shared" si="171"/>
        <v>0</v>
      </c>
      <c r="DX25" s="165">
        <f t="shared" si="172"/>
        <v>18388580.000000004</v>
      </c>
      <c r="DY25" s="87"/>
      <c r="DZ25" s="53">
        <f t="shared" si="162"/>
        <v>2038</v>
      </c>
      <c r="EA25" s="35">
        <f t="shared" si="163"/>
        <v>0</v>
      </c>
      <c r="EB25" s="35">
        <f t="shared" si="164"/>
        <v>18388580.000000004</v>
      </c>
      <c r="EC25" s="35">
        <f t="shared" si="165"/>
        <v>18388580.000000004</v>
      </c>
      <c r="ED25" s="171">
        <f t="shared" si="173"/>
        <v>15</v>
      </c>
      <c r="EE25" s="61">
        <f>EA$53-SUM(EA$10:EA25)</f>
        <v>455000000</v>
      </c>
    </row>
    <row r="26" spans="1:135" s="33" customFormat="1" outlineLevel="1">
      <c r="A26" s="7">
        <f t="shared" si="166"/>
        <v>2039</v>
      </c>
      <c r="B26" s="151">
        <f>Assumptions!B23</f>
        <v>5.3800000000000001E-2</v>
      </c>
      <c r="C26" s="151">
        <f>Assumptions!C23</f>
        <v>5.3800000000000001E-2</v>
      </c>
      <c r="D26" s="151">
        <f>Assumptions!D23</f>
        <v>3.5000000000000003E-2</v>
      </c>
      <c r="E26" s="151">
        <f>Assumptions!E23</f>
        <v>5.2999999999999999E-2</v>
      </c>
      <c r="F26" s="151">
        <f>Assumptions!F23</f>
        <v>0</v>
      </c>
      <c r="G26" s="151">
        <f>Assumptions!G23</f>
        <v>3.0000000000000001E-3</v>
      </c>
      <c r="H26" s="151">
        <f>Assumptions!H23</f>
        <v>8.0000000000000004E-4</v>
      </c>
      <c r="I26" s="151"/>
      <c r="J26" s="151"/>
      <c r="K26" s="151"/>
      <c r="L26" s="8"/>
      <c r="M26" s="87">
        <f>IF($A26=M$58,M$53-SUM(M$11:M25), 0)</f>
        <v>0</v>
      </c>
      <c r="N26" s="8" t="str">
        <f t="shared" si="128"/>
        <v xml:space="preserve">   </v>
      </c>
      <c r="O26" s="87">
        <f>IF($A26&gt;M$58, 0, SUM(M26:M$47)*N26*M$63/M$64+SUM(M27:M$47)*(M$64-M$63)/M$64*N26)</f>
        <v>0</v>
      </c>
      <c r="P26" s="35"/>
      <c r="Q26" s="87">
        <f>IF($A26=Q$58,Q$53-SUM(Q$11:Q25), 0)</f>
        <v>0</v>
      </c>
      <c r="R26" s="8" t="str">
        <f t="shared" si="129"/>
        <v xml:space="preserve">   </v>
      </c>
      <c r="S26" s="87">
        <f>IF($A26&gt;Q$58, 0, SUM(Q26:Q$47)*R26*Q$63/Q$64+SUM(Q27:Q$47)*(Q$64-Q$63)/Q$64*R26)</f>
        <v>0</v>
      </c>
      <c r="T26" s="35"/>
      <c r="U26" s="35">
        <f t="shared" si="130"/>
        <v>0</v>
      </c>
      <c r="V26" s="35">
        <f t="shared" si="131"/>
        <v>0</v>
      </c>
      <c r="W26" s="38"/>
      <c r="X26" s="87">
        <f>IF($A26=X$58,X$53-SUM(X$11:X25), 0)</f>
        <v>0</v>
      </c>
      <c r="Y26" s="8" t="str">
        <f t="shared" si="132"/>
        <v xml:space="preserve">   </v>
      </c>
      <c r="Z26" s="87">
        <f>IF($A26&gt;X$58, 0, SUM(X26:X$47)*Y26*X$63/X$64+SUM(X27:X$47)*(X$64-X$63)/X$64*Y26)</f>
        <v>0</v>
      </c>
      <c r="AA26" s="87"/>
      <c r="AB26" s="87">
        <f>IF($A26=AB$58,AB$53-SUM(AB$11:AB25), 0)</f>
        <v>0</v>
      </c>
      <c r="AC26" s="8" t="str">
        <f t="shared" si="133"/>
        <v xml:space="preserve">   </v>
      </c>
      <c r="AD26" s="87">
        <f>IF($A26&gt;AB$58, 0, SUM(AB26:AB$47)*AC26*AB$63/AB$64+SUM(AB27:AB$47)*(AB$64-AB$63)/AB$64*AC26)</f>
        <v>0</v>
      </c>
      <c r="AE26" s="35"/>
      <c r="AF26" s="87">
        <f>IF($A26=AF$58,AF$53-SUM(AF$11:AF25), 0)</f>
        <v>0</v>
      </c>
      <c r="AG26" s="8" t="str">
        <f t="shared" si="134"/>
        <v xml:space="preserve">   </v>
      </c>
      <c r="AH26" s="87">
        <f>IF($A26&gt;AF$58, 0, SUM(AF26:AF$47)*AG26*AF$63/AF$64+SUM(AF27:AF$47)*(AF$64-AF$63)/AF$64*AG26)</f>
        <v>0</v>
      </c>
      <c r="AI26" s="35"/>
      <c r="AJ26" s="87">
        <f>IF($A26=AJ$58,AJ$53-SUM(AJ$11:AJ25), 0)</f>
        <v>0</v>
      </c>
      <c r="AK26" s="77">
        <f t="shared" si="135"/>
        <v>3.8800000000000008E-2</v>
      </c>
      <c r="AL26" s="87">
        <f>IF($A26&gt;AJ$58, 0, SUM(AJ26:AJ$47)*AK26*AJ$63/AJ$64+SUM(AJ27:AJ$47)*(AJ$64-AJ$63)/AJ$64*AK26)</f>
        <v>1940000.0000000005</v>
      </c>
      <c r="AM26" s="35"/>
      <c r="AN26" s="87">
        <f>IF($A26='Debt Service'!AN$58, 'Debt Service'!AN$53-SUM(AN$11:AN25), 0)</f>
        <v>0</v>
      </c>
      <c r="AO26" s="77" t="str">
        <f t="shared" si="136"/>
        <v xml:space="preserve">   </v>
      </c>
      <c r="AP26" s="87">
        <f>IF($A26&gt;'Debt Service'!AN$58, 0, SUM(AN26:AN$47)*AO26*AN$63/AN$64+SUM(AN27:AN$47)*(AN$64-AN$63)/AN$64*AO26)</f>
        <v>0</v>
      </c>
      <c r="AQ26" s="35"/>
      <c r="AR26" s="87">
        <f>IF($A26=AR$58,AR$53-SUM(AR$11:AR25), 0)</f>
        <v>0</v>
      </c>
      <c r="AS26" s="77" t="str">
        <f t="shared" si="137"/>
        <v xml:space="preserve">   </v>
      </c>
      <c r="AT26" s="87">
        <f>IF($A26&gt;AR$58, 0, SUM(AR26:AR$47)*AS26*AR$63/AR$64+SUM(AR27:AR$47)*(AR$64-AR$63)/AR$64*AS26)</f>
        <v>0</v>
      </c>
      <c r="AV26" s="35">
        <f t="shared" si="138"/>
        <v>0</v>
      </c>
      <c r="AW26" s="35">
        <f t="shared" si="139"/>
        <v>1940000.0000000005</v>
      </c>
      <c r="AX26" s="35"/>
      <c r="AY26" s="87">
        <f>IF($A26=AY$58,AY$53-SUM(AY$11:AY25), 0)</f>
        <v>0</v>
      </c>
      <c r="AZ26" s="8" t="str">
        <f t="shared" si="140"/>
        <v xml:space="preserve">   </v>
      </c>
      <c r="BA26" s="87">
        <f>IF($A26&gt;AY$58, 0, SUM(AY26:AY$47)*AZ26*AY$63/AY$64+SUM(AY27:AY$47)*(AY$64-AY$63)/AY$64*AZ26)</f>
        <v>0</v>
      </c>
      <c r="BB26" s="61"/>
      <c r="BC26" s="87">
        <f>IF($A26=BC$58,BC$53-SUM(BC$11:BC25), 0)</f>
        <v>0</v>
      </c>
      <c r="BD26" s="77">
        <f t="shared" si="141"/>
        <v>4.3646000000000004E-2</v>
      </c>
      <c r="BE26" s="87">
        <f>IF($A26&gt;BC$58, 0, SUM(BC26:BC$47)*BD26*BC$63/BC$64+SUM(BC27:BC$47)*(BC$64-BC$63)/BC$64*BD26)</f>
        <v>1309380.0000000002</v>
      </c>
      <c r="BF26" s="61"/>
      <c r="BG26" s="87">
        <f>IF($A26=BG$58,BG$53-SUM(BG$11:BG25), 0)</f>
        <v>0</v>
      </c>
      <c r="BH26" s="77">
        <f t="shared" si="142"/>
        <v>4.4846000000000004E-2</v>
      </c>
      <c r="BI26" s="87">
        <f>IF($A26&gt;BG$58, 0, SUM(BG26:BG$47)*BH26*BG$63/BG$64+SUM(BG27:BG$47)*(BG$64-BG$63)/BG$64*BH26)</f>
        <v>3363450.0000000005</v>
      </c>
      <c r="BJ26" s="61"/>
      <c r="BK26" s="35">
        <f t="shared" si="167"/>
        <v>0</v>
      </c>
      <c r="BL26" s="35">
        <f t="shared" si="168"/>
        <v>4672830.0000000009</v>
      </c>
      <c r="BM26" s="8"/>
      <c r="BN26" s="87">
        <f>IF($A26=BN$58,BN$53-SUM(BN$11:BN25), 0)</f>
        <v>0</v>
      </c>
      <c r="BO26" s="8" t="str">
        <f t="shared" si="143"/>
        <v xml:space="preserve">   </v>
      </c>
      <c r="BP26" s="87">
        <f>IF($A26&gt;BN$58, 0, SUM(BN26:BN$47)*BO26*BN$63/BN$64+SUM(BN27:BN$47)*(BN$64-BN$63)/BN$64*BO26)</f>
        <v>0</v>
      </c>
      <c r="BQ26" s="77"/>
      <c r="BR26" s="87">
        <f>IF($A26=BR$58,BR$53-SUM(BR$11:BR25), 0)</f>
        <v>0</v>
      </c>
      <c r="BS26" s="77">
        <f t="shared" si="144"/>
        <v>3.8800000000000008E-2</v>
      </c>
      <c r="BT26" s="87">
        <f>IF($A26&gt;BR$58, 0, SUM(BR26:BR$47)*BS26*BR$63/BR$64+SUM(BR27:BR$47)*(BR$64-BR$63)/BR$64*BS26)</f>
        <v>2910000.0000000005</v>
      </c>
      <c r="BU26" s="87"/>
      <c r="BV26" s="35">
        <f t="shared" si="169"/>
        <v>0</v>
      </c>
      <c r="BW26" s="35">
        <f t="shared" si="170"/>
        <v>2910000.0000000005</v>
      </c>
      <c r="BX26" s="87"/>
      <c r="BY26" s="87">
        <f>IF($A26='Debt Service'!BY$58, 'Debt Service'!BY$53-SUM(BY$11:BY25), 0)</f>
        <v>0</v>
      </c>
      <c r="BZ26" s="8" t="str">
        <f>IF($A26&gt;'Debt Service'!BY$58, "   ",'Debt Service'!BY$54)</f>
        <v xml:space="preserve">   </v>
      </c>
      <c r="CA26" s="87"/>
      <c r="CB26" s="87"/>
      <c r="CC26" s="87">
        <f>IF($A26='Debt Service'!CC$58, 'Debt Service'!CC$53-SUM(CC$11:CC25), 0)</f>
        <v>0</v>
      </c>
      <c r="CD26" s="77" t="str">
        <f t="shared" si="146"/>
        <v xml:space="preserve">   </v>
      </c>
      <c r="CE26" s="87">
        <f>IF(OR($A26&gt;'Debt Service'!CC$58, $A26&lt;CC$51), 0, SUM(CC26:CC$47)*CD26*CC$63/CC$64+SUM(CC27:CC$47)*(CC$64-CC$63)/CC$64*CD26)</f>
        <v>0</v>
      </c>
      <c r="CF26" s="87"/>
      <c r="CG26" s="87">
        <f>IF($A26=CG$58,CG$53-SUM(CG$11:CG25), 0)</f>
        <v>0</v>
      </c>
      <c r="CH26" s="77">
        <f t="shared" si="147"/>
        <v>3.9000000000000007E-2</v>
      </c>
      <c r="CI26" s="87">
        <f>IF($A26&gt;CG$58, 0, SUM(CG26:CG$47)*CH26*CG$63/CG$64+SUM(CG27:CG$47)*(CG$64-CG$63)/CG$64*CH26)</f>
        <v>2925000.0000000005</v>
      </c>
      <c r="CJ26" s="87"/>
      <c r="CK26" s="87">
        <f>IF($A26=CK$58,CK$53-SUM(CK$11:CK25), 0)</f>
        <v>0</v>
      </c>
      <c r="CL26" s="77">
        <f t="shared" si="148"/>
        <v>4.0410000000000001E-2</v>
      </c>
      <c r="CM26" s="87">
        <f>IF($A26&gt;CK$58, 0, SUM(CK26:CK$47)*CL26*CK$63/CK$64+SUM(CK27:CK$47)*(CK$64-CK$63)/CK$64*CL26)</f>
        <v>3030750</v>
      </c>
      <c r="CN26" s="87"/>
      <c r="CO26" s="162">
        <f t="shared" si="149"/>
        <v>0</v>
      </c>
      <c r="CP26" s="87">
        <f t="shared" si="150"/>
        <v>5955750</v>
      </c>
      <c r="CQ26" s="87"/>
      <c r="CR26" s="87">
        <f>IF($A26='Debt Service'!CR$58, 'Debt Service'!CR$53-SUM(CR$11:CR25), 0)</f>
        <v>0</v>
      </c>
      <c r="CS26" s="77" t="str">
        <f t="shared" si="151"/>
        <v xml:space="preserve">   </v>
      </c>
      <c r="CT26" s="87">
        <f>IF($A26&gt;'Debt Service'!CR$58, 0, SUM(CR26:CR$47)*CS26*CR$63/CR$64+SUM(CR27:CR$47)*(CR$64-CR$63)/CR$64*CS26)</f>
        <v>0</v>
      </c>
      <c r="CU26" s="87"/>
      <c r="CV26" s="87">
        <f>IF($A26=CV$58,CV$53-SUM(CV$11:CV25), 0)</f>
        <v>0</v>
      </c>
      <c r="CW26" s="77">
        <f t="shared" si="152"/>
        <v>3.8800000000000008E-2</v>
      </c>
      <c r="CX26" s="87">
        <f>IF($A26&gt;CV$58, 0, SUM(CV26:CV$47)*CW26*CV$63/CV$64+SUM(CV27:CV$47)*(CV$64-CV$63)/CV$64*CW26)</f>
        <v>2910000.0000000005</v>
      </c>
      <c r="CY26" s="87"/>
      <c r="CZ26" s="165">
        <f t="shared" si="153"/>
        <v>0</v>
      </c>
      <c r="DA26" s="165">
        <f t="shared" si="154"/>
        <v>2910000.0000000005</v>
      </c>
      <c r="DB26" s="165"/>
      <c r="DC26" s="87">
        <f t="shared" si="155"/>
        <v>0</v>
      </c>
      <c r="DD26" s="77" t="str">
        <f t="shared" si="156"/>
        <v>---</v>
      </c>
      <c r="DE26" s="87">
        <f t="shared" si="174"/>
        <v>0</v>
      </c>
      <c r="DF26" s="165"/>
      <c r="DG26" s="87">
        <f>IF($A26=DG$58,DG$53-SUM(DG$11:DG25), 0)</f>
        <v>0</v>
      </c>
      <c r="DH26" s="77" t="str">
        <f t="shared" si="158"/>
        <v xml:space="preserve">   </v>
      </c>
      <c r="DI26" s="87">
        <f>IF(OR($A26&gt;DG$58,$A26&lt;DG$51), 0, SUM(DG26:DG$47)*DH26*DG$63/DG$64+SUM(DG27:DG$47)*(DG$64-DG$63)/DG$64*DH26)</f>
        <v>0</v>
      </c>
      <c r="DJ26" s="87"/>
      <c r="DK26" s="87">
        <f>IF($A26=DK$58,DK$53-SUM(DK$11:DK25), 0)</f>
        <v>0</v>
      </c>
      <c r="DL26" s="77" t="str">
        <f t="shared" si="159"/>
        <v xml:space="preserve">   </v>
      </c>
      <c r="DM26" s="87">
        <f>IF(OR($A26&gt;DK$58,$A26&lt;DK$51), 0, SUM(DK26:DK$47)*DL26*DK$63/DK$64+SUM(DK27:DK$47)*(DK$64-DK$63)/DK$64*DL26)</f>
        <v>0</v>
      </c>
      <c r="DN26" s="87"/>
      <c r="DO26" s="87">
        <f>IF($A26=DO$58,DO$53-SUM(DO$11:DO25), 0)</f>
        <v>0</v>
      </c>
      <c r="DP26" s="77" t="str">
        <f t="shared" si="160"/>
        <v xml:space="preserve">   </v>
      </c>
      <c r="DQ26" s="87">
        <f>IF(OR($A26&gt;DO$58,$A26&lt;DO$51), 0, SUM(DO26:DO$47)*DP26*DO$63/DO$64+SUM(DO27:DO$47)*(DO$64-DO$63)/DO$64*DP26)</f>
        <v>0</v>
      </c>
      <c r="DR26" s="165"/>
      <c r="DS26" s="87">
        <f>IF($A26=DS$58,DS$53-SUM(DS$11:DS25), 0)</f>
        <v>0</v>
      </c>
      <c r="DT26" s="77" t="str">
        <f t="shared" si="161"/>
        <v xml:space="preserve">   </v>
      </c>
      <c r="DU26" s="87">
        <f>IF(OR($A26&gt;DS$58,$A26&lt;DS$51), 0, SUM(DS26:DS$47)*DT26*DS$63/DS$64+SUM(DS27:DS$47)*(DS$64-DS$63)/DS$64*DT26)</f>
        <v>0</v>
      </c>
      <c r="DV26" s="165"/>
      <c r="DW26" s="165">
        <f t="shared" si="171"/>
        <v>0</v>
      </c>
      <c r="DX26" s="165">
        <f t="shared" si="172"/>
        <v>18388580.000000004</v>
      </c>
      <c r="DY26" s="87"/>
      <c r="DZ26" s="53">
        <f t="shared" si="162"/>
        <v>2039</v>
      </c>
      <c r="EA26" s="35">
        <f t="shared" si="163"/>
        <v>0</v>
      </c>
      <c r="EB26" s="35">
        <f t="shared" si="164"/>
        <v>18388580.000000004</v>
      </c>
      <c r="EC26" s="35">
        <f t="shared" si="165"/>
        <v>18388580.000000004</v>
      </c>
      <c r="ED26" s="171">
        <f t="shared" si="173"/>
        <v>16</v>
      </c>
      <c r="EE26" s="61">
        <f>EA$53-SUM(EA$10:EA26)</f>
        <v>455000000</v>
      </c>
    </row>
    <row r="27" spans="1:135" s="33" customFormat="1" outlineLevel="1">
      <c r="A27" s="7">
        <f t="shared" si="166"/>
        <v>2040</v>
      </c>
      <c r="B27" s="151">
        <f>Assumptions!B24</f>
        <v>5.3800000000000001E-2</v>
      </c>
      <c r="C27" s="151">
        <f>Assumptions!C24</f>
        <v>5.3800000000000001E-2</v>
      </c>
      <c r="D27" s="151">
        <f>Assumptions!D24</f>
        <v>3.5000000000000003E-2</v>
      </c>
      <c r="E27" s="151">
        <f>Assumptions!E24</f>
        <v>5.2999999999999999E-2</v>
      </c>
      <c r="F27" s="151">
        <f>Assumptions!F24</f>
        <v>0</v>
      </c>
      <c r="G27" s="151">
        <f>Assumptions!G24</f>
        <v>3.0000000000000001E-3</v>
      </c>
      <c r="H27" s="151">
        <f>Assumptions!H24</f>
        <v>8.0000000000000004E-4</v>
      </c>
      <c r="I27" s="151"/>
      <c r="J27" s="151"/>
      <c r="K27" s="151"/>
      <c r="L27" s="8"/>
      <c r="M27" s="87">
        <f>IF($A27=M$58,M$53-SUM(M$11:M26), 0)</f>
        <v>0</v>
      </c>
      <c r="N27" s="8" t="str">
        <f t="shared" si="128"/>
        <v xml:space="preserve">   </v>
      </c>
      <c r="O27" s="87">
        <f>IF($A27&gt;M$58, 0, SUM(M27:M$47)*N27*M$63/M$64+SUM(M28:M$47)*(M$64-M$63)/M$64*N27)</f>
        <v>0</v>
      </c>
      <c r="P27" s="35"/>
      <c r="Q27" s="87">
        <f>IF($A27=Q$58,Q$53-SUM(Q$11:Q26), 0)</f>
        <v>0</v>
      </c>
      <c r="R27" s="8" t="str">
        <f t="shared" si="129"/>
        <v xml:space="preserve">   </v>
      </c>
      <c r="S27" s="87">
        <f>IF($A27&gt;Q$58, 0, SUM(Q27:Q$47)*R27*Q$63/Q$64+SUM(Q28:Q$47)*(Q$64-Q$63)/Q$64*R27)</f>
        <v>0</v>
      </c>
      <c r="T27" s="35"/>
      <c r="U27" s="35">
        <f t="shared" si="130"/>
        <v>0</v>
      </c>
      <c r="V27" s="35">
        <f t="shared" si="131"/>
        <v>0</v>
      </c>
      <c r="W27" s="35"/>
      <c r="X27" s="87">
        <f>IF($A27=X$58,X$53-SUM(X$11:X26), 0)</f>
        <v>0</v>
      </c>
      <c r="Y27" s="8" t="str">
        <f t="shared" si="132"/>
        <v xml:space="preserve">   </v>
      </c>
      <c r="Z27" s="87">
        <f>IF($A27&gt;X$58, 0, SUM(X27:X$47)*Y27*X$63/X$64+SUM(X28:X$47)*(X$64-X$63)/X$64*Y27)</f>
        <v>0</v>
      </c>
      <c r="AA27" s="87"/>
      <c r="AB27" s="87">
        <f>IF($A27=AB$58,AB$53-SUM(AB$11:AB26), 0)</f>
        <v>0</v>
      </c>
      <c r="AC27" s="8" t="str">
        <f t="shared" si="133"/>
        <v xml:space="preserve">   </v>
      </c>
      <c r="AD27" s="87">
        <f>IF($A27&gt;AB$58, 0, SUM(AB27:AB$47)*AC27*AB$63/AB$64+SUM(AB28:AB$47)*(AB$64-AB$63)/AB$64*AC27)</f>
        <v>0</v>
      </c>
      <c r="AE27" s="35"/>
      <c r="AF27" s="87">
        <f>IF($A27=AF$58,AF$53-SUM(AF$11:AF26), 0)</f>
        <v>0</v>
      </c>
      <c r="AG27" s="8" t="str">
        <f t="shared" si="134"/>
        <v xml:space="preserve">   </v>
      </c>
      <c r="AH27" s="87">
        <f>IF($A27&gt;AF$58, 0, SUM(AF27:AF$47)*AG27*AF$63/AF$64+SUM(AF28:AF$47)*(AF$64-AF$63)/AF$64*AG27)</f>
        <v>0</v>
      </c>
      <c r="AI27" s="35"/>
      <c r="AJ27" s="87">
        <f>IF($A27=AJ$58,AJ$53-SUM(AJ$11:AJ26), 0)</f>
        <v>0</v>
      </c>
      <c r="AK27" s="77">
        <f t="shared" si="135"/>
        <v>3.8800000000000008E-2</v>
      </c>
      <c r="AL27" s="87">
        <f>IF($A27&gt;AJ$58, 0, SUM(AJ27:AJ$47)*AK27*AJ$63/AJ$64+SUM(AJ28:AJ$47)*(AJ$64-AJ$63)/AJ$64*AK27)</f>
        <v>1940000.0000000005</v>
      </c>
      <c r="AM27" s="35"/>
      <c r="AN27" s="87">
        <f>IF($A27='Debt Service'!AN$58, 'Debt Service'!AN$53-SUM(AN$11:AN26), 0)</f>
        <v>0</v>
      </c>
      <c r="AO27" s="77" t="str">
        <f t="shared" si="136"/>
        <v xml:space="preserve">   </v>
      </c>
      <c r="AP27" s="87">
        <f>IF($A27&gt;'Debt Service'!AN$58, 0, SUM(AN27:AN$47)*AO27*AN$63/AN$64+SUM(AN28:AN$47)*(AN$64-AN$63)/AN$64*AO27)</f>
        <v>0</v>
      </c>
      <c r="AQ27" s="35"/>
      <c r="AR27" s="87">
        <f>IF($A27=AR$58,AR$53-SUM(AR$11:AR26), 0)</f>
        <v>0</v>
      </c>
      <c r="AS27" s="77" t="str">
        <f t="shared" si="137"/>
        <v xml:space="preserve">   </v>
      </c>
      <c r="AT27" s="87">
        <f>IF($A27&gt;AR$58, 0, SUM(AR27:AR$47)*AS27*AR$63/AR$64+SUM(AR28:AR$47)*(AR$64-AR$63)/AR$64*AS27)</f>
        <v>0</v>
      </c>
      <c r="AV27" s="35">
        <f t="shared" si="138"/>
        <v>0</v>
      </c>
      <c r="AW27" s="35">
        <f t="shared" si="139"/>
        <v>1940000.0000000005</v>
      </c>
      <c r="AX27" s="35"/>
      <c r="AY27" s="87">
        <f>IF($A27=AY$58,AY$53-SUM(AY$11:AY26), 0)</f>
        <v>0</v>
      </c>
      <c r="AZ27" s="8" t="str">
        <f t="shared" si="140"/>
        <v xml:space="preserve">   </v>
      </c>
      <c r="BA27" s="87">
        <f>IF($A27&gt;AY$58, 0, SUM(AY27:AY$47)*AZ27*AY$63/AY$64+SUM(AY28:AY$47)*(AY$64-AY$63)/AY$64*AZ27)</f>
        <v>0</v>
      </c>
      <c r="BB27" s="61"/>
      <c r="BC27" s="87">
        <f>IF($A27=BC$58,BC$53-SUM(BC$11:BC26), 0)</f>
        <v>0</v>
      </c>
      <c r="BD27" s="77">
        <f t="shared" si="141"/>
        <v>4.3646000000000004E-2</v>
      </c>
      <c r="BE27" s="87">
        <f>IF($A27&gt;BC$58, 0, SUM(BC27:BC$47)*BD27*BC$63/BC$64+SUM(BC28:BC$47)*(BC$64-BC$63)/BC$64*BD27)</f>
        <v>1309380.0000000002</v>
      </c>
      <c r="BF27" s="61"/>
      <c r="BG27" s="87">
        <f>IF($A27=BG$58,BG$53-SUM(BG$11:BG26), 0)</f>
        <v>0</v>
      </c>
      <c r="BH27" s="77">
        <f t="shared" si="142"/>
        <v>4.4846000000000004E-2</v>
      </c>
      <c r="BI27" s="87">
        <f>IF($A27&gt;BG$58, 0, SUM(BG27:BG$47)*BH27*BG$63/BG$64+SUM(BG28:BG$47)*(BG$64-BG$63)/BG$64*BH27)</f>
        <v>3363450.0000000005</v>
      </c>
      <c r="BJ27" s="61"/>
      <c r="BK27" s="35">
        <f t="shared" si="167"/>
        <v>0</v>
      </c>
      <c r="BL27" s="35">
        <f t="shared" si="168"/>
        <v>4672830.0000000009</v>
      </c>
      <c r="BM27" s="8"/>
      <c r="BN27" s="87">
        <f>IF($A27=BN$58,BN$53-SUM(BN$11:BN26), 0)</f>
        <v>0</v>
      </c>
      <c r="BO27" s="8" t="str">
        <f t="shared" si="143"/>
        <v xml:space="preserve">   </v>
      </c>
      <c r="BP27" s="87">
        <f>IF($A27&gt;BN$58, 0, SUM(BN27:BN$47)*BO27*BN$63/BN$64+SUM(BN28:BN$47)*(BN$64-BN$63)/BN$64*BO27)</f>
        <v>0</v>
      </c>
      <c r="BQ27" s="77"/>
      <c r="BR27" s="87">
        <f>IF($A27=BR$58,BR$53-SUM(BR$11:BR26), 0)</f>
        <v>0</v>
      </c>
      <c r="BS27" s="77">
        <f t="shared" si="144"/>
        <v>3.8800000000000008E-2</v>
      </c>
      <c r="BT27" s="87">
        <f>IF($A27&gt;BR$58, 0, SUM(BR27:BR$47)*BS27*BR$63/BR$64+SUM(BR28:BR$47)*(BR$64-BR$63)/BR$64*BS27)</f>
        <v>2910000.0000000005</v>
      </c>
      <c r="BU27" s="87"/>
      <c r="BV27" s="35">
        <f t="shared" si="169"/>
        <v>0</v>
      </c>
      <c r="BW27" s="35">
        <f t="shared" si="170"/>
        <v>2910000.0000000005</v>
      </c>
      <c r="BX27" s="87"/>
      <c r="BY27" s="87">
        <f>IF($A27='Debt Service'!BY$58, 'Debt Service'!BY$53-SUM(BY$11:BY26), 0)</f>
        <v>0</v>
      </c>
      <c r="BZ27" s="8" t="str">
        <f>IF($A27&gt;'Debt Service'!BY$58, "   ",'Debt Service'!BY$54)</f>
        <v xml:space="preserve">   </v>
      </c>
      <c r="CA27" s="87"/>
      <c r="CB27" s="87"/>
      <c r="CC27" s="87">
        <f>IF($A27='Debt Service'!CC$58, 'Debt Service'!CC$53-SUM(CC$11:CC26), 0)</f>
        <v>0</v>
      </c>
      <c r="CD27" s="77" t="str">
        <f t="shared" si="146"/>
        <v xml:space="preserve">   </v>
      </c>
      <c r="CE27" s="87">
        <f>IF(OR($A27&gt;'Debt Service'!CC$58, $A27&lt;CC$51), 0, SUM(CC27:CC$47)*CD27*CC$63/CC$64+SUM(CC28:CC$47)*(CC$64-CC$63)/CC$64*CD27)</f>
        <v>0</v>
      </c>
      <c r="CF27" s="87"/>
      <c r="CG27" s="87">
        <f>IF($A27=CG$58,CG$53-SUM(CG$11:CG26), 0)</f>
        <v>0</v>
      </c>
      <c r="CH27" s="77">
        <f t="shared" si="147"/>
        <v>3.9000000000000007E-2</v>
      </c>
      <c r="CI27" s="87">
        <f>IF($A27&gt;CG$58, 0, SUM(CG27:CG$47)*CH27*CG$63/CG$64+SUM(CG28:CG$47)*(CG$64-CG$63)/CG$64*CH27)</f>
        <v>2925000.0000000005</v>
      </c>
      <c r="CJ27" s="87"/>
      <c r="CK27" s="87">
        <f>IF($A27=CK$58,CK$53-SUM(CK$11:CK26), 0)</f>
        <v>0</v>
      </c>
      <c r="CL27" s="77">
        <f t="shared" si="148"/>
        <v>4.0410000000000001E-2</v>
      </c>
      <c r="CM27" s="87">
        <f>IF($A27&gt;CK$58, 0, SUM(CK27:CK$47)*CL27*CK$63/CK$64+SUM(CK28:CK$47)*(CK$64-CK$63)/CK$64*CL27)</f>
        <v>3030750</v>
      </c>
      <c r="CN27" s="87"/>
      <c r="CO27" s="162">
        <f t="shared" si="149"/>
        <v>0</v>
      </c>
      <c r="CP27" s="87">
        <f t="shared" si="150"/>
        <v>5955750</v>
      </c>
      <c r="CQ27" s="87"/>
      <c r="CR27" s="87">
        <f>IF($A27='Debt Service'!CR$58, 'Debt Service'!CR$53-SUM(CR$11:CR26), 0)</f>
        <v>0</v>
      </c>
      <c r="CS27" s="77" t="str">
        <f t="shared" si="151"/>
        <v xml:space="preserve">   </v>
      </c>
      <c r="CT27" s="87">
        <f>IF($A27&gt;'Debt Service'!CR$58, 0, SUM(CR27:CR$47)*CS27*CR$63/CR$64+SUM(CR28:CR$47)*(CR$64-CR$63)/CR$64*CS27)</f>
        <v>0</v>
      </c>
      <c r="CU27" s="87"/>
      <c r="CV27" s="87">
        <f>IF($A27=CV$58,CV$53-SUM(CV$11:CV26), 0)</f>
        <v>0</v>
      </c>
      <c r="CW27" s="77">
        <f t="shared" si="152"/>
        <v>3.8800000000000008E-2</v>
      </c>
      <c r="CX27" s="87">
        <f>IF($A27&gt;CV$58, 0, SUM(CV27:CV$47)*CW27*CV$63/CV$64+SUM(CV28:CV$47)*(CV$64-CV$63)/CV$64*CW27)</f>
        <v>2910000.0000000005</v>
      </c>
      <c r="CY27" s="87"/>
      <c r="CZ27" s="165">
        <f t="shared" si="153"/>
        <v>0</v>
      </c>
      <c r="DA27" s="165">
        <f t="shared" si="154"/>
        <v>2910000.0000000005</v>
      </c>
      <c r="DB27" s="165"/>
      <c r="DC27" s="87">
        <f t="shared" si="155"/>
        <v>0</v>
      </c>
      <c r="DD27" s="77" t="str">
        <f t="shared" si="156"/>
        <v>---</v>
      </c>
      <c r="DE27" s="87">
        <f t="shared" si="174"/>
        <v>0</v>
      </c>
      <c r="DF27" s="165"/>
      <c r="DG27" s="87">
        <f>IF($A27=DG$58,DG$53-SUM(DG$11:DG26), 0)</f>
        <v>0</v>
      </c>
      <c r="DH27" s="77" t="str">
        <f t="shared" si="158"/>
        <v xml:space="preserve">   </v>
      </c>
      <c r="DI27" s="87">
        <f>IF(OR($A27&gt;DG$58,$A27&lt;DG$51), 0, SUM(DG27:DG$47)*DH27*DG$63/DG$64+SUM(DG28:DG$47)*(DG$64-DG$63)/DG$64*DH27)</f>
        <v>0</v>
      </c>
      <c r="DJ27" s="87"/>
      <c r="DK27" s="87">
        <f>IF($A27=DK$58,DK$53-SUM(DK$11:DK26), 0)</f>
        <v>0</v>
      </c>
      <c r="DL27" s="77" t="str">
        <f t="shared" si="159"/>
        <v xml:space="preserve">   </v>
      </c>
      <c r="DM27" s="87">
        <f>IF(OR($A27&gt;DK$58,$A27&lt;DK$51), 0, SUM(DK27:DK$47)*DL27*DK$63/DK$64+SUM(DK28:DK$47)*(DK$64-DK$63)/DK$64*DL27)</f>
        <v>0</v>
      </c>
      <c r="DN27" s="87"/>
      <c r="DO27" s="87">
        <f>IF($A27=DO$58,DO$53-SUM(DO$11:DO26), 0)</f>
        <v>0</v>
      </c>
      <c r="DP27" s="77" t="str">
        <f t="shared" si="160"/>
        <v xml:space="preserve">   </v>
      </c>
      <c r="DQ27" s="87">
        <f>IF(OR($A27&gt;DO$58,$A27&lt;DO$51), 0, SUM(DO27:DO$47)*DP27*DO$63/DO$64+SUM(DO28:DO$47)*(DO$64-DO$63)/DO$64*DP27)</f>
        <v>0</v>
      </c>
      <c r="DR27" s="165"/>
      <c r="DS27" s="87">
        <f>IF($A27=DS$58,DS$53-SUM(DS$11:DS26), 0)</f>
        <v>0</v>
      </c>
      <c r="DT27" s="77" t="str">
        <f t="shared" si="161"/>
        <v xml:space="preserve">   </v>
      </c>
      <c r="DU27" s="87">
        <f>IF(OR($A27&gt;DS$58,$A27&lt;DS$51), 0, SUM(DS27:DS$47)*DT27*DS$63/DS$64+SUM(DS28:DS$47)*(DS$64-DS$63)/DS$64*DT27)</f>
        <v>0</v>
      </c>
      <c r="DV27" s="165"/>
      <c r="DW27" s="165">
        <f t="shared" si="171"/>
        <v>0</v>
      </c>
      <c r="DX27" s="165">
        <f t="shared" si="172"/>
        <v>18388580.000000004</v>
      </c>
      <c r="DY27" s="87"/>
      <c r="DZ27" s="53">
        <f t="shared" si="162"/>
        <v>2040</v>
      </c>
      <c r="EA27" s="35">
        <f t="shared" si="163"/>
        <v>0</v>
      </c>
      <c r="EB27" s="35">
        <f t="shared" si="164"/>
        <v>18388580.000000004</v>
      </c>
      <c r="EC27" s="35">
        <f t="shared" ref="EC27:EC47" si="175">SUM(EA27:EB27)</f>
        <v>18388580.000000004</v>
      </c>
      <c r="ED27" s="171">
        <f t="shared" si="173"/>
        <v>17</v>
      </c>
      <c r="EE27" s="61">
        <f>EA$53-SUM(EA$10:EA27)</f>
        <v>455000000</v>
      </c>
    </row>
    <row r="28" spans="1:135" s="33" customFormat="1" outlineLevel="1">
      <c r="A28" s="7">
        <f t="shared" si="166"/>
        <v>2041</v>
      </c>
      <c r="B28" s="151">
        <f>Assumptions!B25</f>
        <v>5.3800000000000001E-2</v>
      </c>
      <c r="C28" s="151">
        <f>Assumptions!C25</f>
        <v>5.3800000000000001E-2</v>
      </c>
      <c r="D28" s="151">
        <f>Assumptions!D25</f>
        <v>3.5000000000000003E-2</v>
      </c>
      <c r="E28" s="151">
        <f>Assumptions!E25</f>
        <v>5.2999999999999999E-2</v>
      </c>
      <c r="F28" s="151">
        <f>Assumptions!F25</f>
        <v>0</v>
      </c>
      <c r="G28" s="151">
        <f>Assumptions!G25</f>
        <v>3.0000000000000001E-3</v>
      </c>
      <c r="H28" s="151">
        <f>Assumptions!H25</f>
        <v>8.0000000000000004E-4</v>
      </c>
      <c r="I28" s="151"/>
      <c r="J28" s="151"/>
      <c r="K28" s="151"/>
      <c r="L28" s="8"/>
      <c r="M28" s="87">
        <f>IF($A28=M$58,M$53-SUM(M$11:M27), 0)</f>
        <v>0</v>
      </c>
      <c r="N28" s="8" t="str">
        <f t="shared" si="128"/>
        <v xml:space="preserve">   </v>
      </c>
      <c r="O28" s="87">
        <f>IF($A28&gt;M$58, 0, SUM(M28:M$47)*N28*M$63/M$64+SUM(M29:M$47)*(M$64-M$63)/M$64*N28)</f>
        <v>0</v>
      </c>
      <c r="P28" s="35"/>
      <c r="Q28" s="87">
        <f>IF($A28=Q$58,Q$53-SUM(Q$11:Q27), 0)</f>
        <v>0</v>
      </c>
      <c r="R28" s="8" t="str">
        <f t="shared" si="129"/>
        <v xml:space="preserve">   </v>
      </c>
      <c r="S28" s="87">
        <f>IF($A28&gt;Q$58, 0, SUM(Q28:Q$47)*R28*Q$63/Q$64+SUM(Q29:Q$47)*(Q$64-Q$63)/Q$64*R28)</f>
        <v>0</v>
      </c>
      <c r="T28" s="35"/>
      <c r="U28" s="35">
        <f t="shared" si="130"/>
        <v>0</v>
      </c>
      <c r="V28" s="35">
        <f t="shared" si="131"/>
        <v>0</v>
      </c>
      <c r="W28" s="35"/>
      <c r="X28" s="87">
        <f>IF($A28=X$58,X$53-SUM(X$11:X27), 0)</f>
        <v>0</v>
      </c>
      <c r="Y28" s="8" t="str">
        <f t="shared" si="132"/>
        <v xml:space="preserve">   </v>
      </c>
      <c r="Z28" s="87">
        <f>IF($A28&gt;X$58, 0, SUM(X28:X$47)*Y28*X$63/X$64+SUM(X29:X$47)*(X$64-X$63)/X$64*Y28)</f>
        <v>0</v>
      </c>
      <c r="AA28" s="87"/>
      <c r="AB28" s="87">
        <f>IF($A28=AB$58,AB$53-SUM(AB$11:AB27), 0)</f>
        <v>0</v>
      </c>
      <c r="AC28" s="8" t="str">
        <f t="shared" si="133"/>
        <v xml:space="preserve">   </v>
      </c>
      <c r="AD28" s="87">
        <f>IF($A28&gt;AB$58, 0, SUM(AB28:AB$47)*AC28*AB$63/AB$64+SUM(AB29:AB$47)*(AB$64-AB$63)/AB$64*AC28)</f>
        <v>0</v>
      </c>
      <c r="AE28" s="35"/>
      <c r="AF28" s="87">
        <f>IF($A28=AF$58,AF$53-SUM(AF$11:AF27), 0)</f>
        <v>0</v>
      </c>
      <c r="AG28" s="8" t="str">
        <f t="shared" si="134"/>
        <v xml:space="preserve">   </v>
      </c>
      <c r="AH28" s="87">
        <f>IF($A28&gt;AF$58, 0, SUM(AF28:AF$47)*AG28*AF$63/AF$64+SUM(AF29:AF$47)*(AF$64-AF$63)/AF$64*AG28)</f>
        <v>0</v>
      </c>
      <c r="AI28" s="35"/>
      <c r="AJ28" s="87">
        <f>IF($A28=AJ$58,AJ$53-SUM(AJ$11:AJ27), 0)</f>
        <v>0</v>
      </c>
      <c r="AK28" s="77">
        <f t="shared" si="135"/>
        <v>3.8800000000000008E-2</v>
      </c>
      <c r="AL28" s="87">
        <f>IF($A28&gt;AJ$58, 0, SUM(AJ28:AJ$47)*AK28*AJ$63/AJ$64+SUM(AJ29:AJ$47)*(AJ$64-AJ$63)/AJ$64*AK28)</f>
        <v>1940000.0000000005</v>
      </c>
      <c r="AM28" s="36"/>
      <c r="AN28" s="87">
        <f>IF($A28='Debt Service'!AN$58, 'Debt Service'!AN$53-SUM(AN$11:AN27), 0)</f>
        <v>0</v>
      </c>
      <c r="AO28" s="77" t="str">
        <f t="shared" si="136"/>
        <v xml:space="preserve">   </v>
      </c>
      <c r="AP28" s="87">
        <f>IF($A28&gt;'Debt Service'!AN$58, 0, SUM(AN28:AN$47)*AO28*AN$63/AN$64+SUM(AN29:AN$47)*(AN$64-AN$63)/AN$64*AO28)</f>
        <v>0</v>
      </c>
      <c r="AQ28" s="35"/>
      <c r="AR28" s="87">
        <f>IF($A28=AR$58,AR$53-SUM(AR$11:AR27), 0)</f>
        <v>0</v>
      </c>
      <c r="AS28" s="77" t="str">
        <f t="shared" si="137"/>
        <v xml:space="preserve">   </v>
      </c>
      <c r="AT28" s="87">
        <f>IF($A28&gt;AR$58, 0, SUM(AR28:AR$47)*AS28*AR$63/AR$64+SUM(AR29:AR$47)*(AR$64-AR$63)/AR$64*AS28)</f>
        <v>0</v>
      </c>
      <c r="AV28" s="35">
        <f t="shared" si="138"/>
        <v>0</v>
      </c>
      <c r="AW28" s="35">
        <f t="shared" si="139"/>
        <v>1940000.0000000005</v>
      </c>
      <c r="AX28" s="35"/>
      <c r="AY28" s="87">
        <f>IF($A28=AY$58,AY$53-SUM(AY$11:AY27), 0)</f>
        <v>0</v>
      </c>
      <c r="AZ28" s="8" t="str">
        <f t="shared" si="140"/>
        <v xml:space="preserve">   </v>
      </c>
      <c r="BA28" s="87">
        <f>IF($A28&gt;AY$58, 0, SUM(AY28:AY$47)*AZ28*AY$63/AY$64+SUM(AY29:AY$47)*(AY$64-AY$63)/AY$64*AZ28)</f>
        <v>0</v>
      </c>
      <c r="BB28" s="61"/>
      <c r="BC28" s="87">
        <f>IF($A28=BC$58,BC$53-SUM(BC$11:BC27), 0)</f>
        <v>0</v>
      </c>
      <c r="BD28" s="77">
        <f t="shared" si="141"/>
        <v>4.3646000000000004E-2</v>
      </c>
      <c r="BE28" s="87">
        <f>IF($A28&gt;BC$58, 0, SUM(BC28:BC$47)*BD28*BC$63/BC$64+SUM(BC29:BC$47)*(BC$64-BC$63)/BC$64*BD28)</f>
        <v>1309380.0000000002</v>
      </c>
      <c r="BF28" s="61"/>
      <c r="BG28" s="87">
        <f>IF($A28=BG$58,BG$53-SUM(BG$11:BG27), 0)</f>
        <v>0</v>
      </c>
      <c r="BH28" s="77">
        <f t="shared" si="142"/>
        <v>4.4846000000000004E-2</v>
      </c>
      <c r="BI28" s="87">
        <f>IF($A28&gt;BG$58, 0, SUM(BG28:BG$47)*BH28*BG$63/BG$64+SUM(BG29:BG$47)*(BG$64-BG$63)/BG$64*BH28)</f>
        <v>3363450.0000000005</v>
      </c>
      <c r="BJ28" s="61"/>
      <c r="BK28" s="35">
        <f t="shared" si="167"/>
        <v>0</v>
      </c>
      <c r="BL28" s="35">
        <f t="shared" si="168"/>
        <v>4672830.0000000009</v>
      </c>
      <c r="BM28" s="8"/>
      <c r="BN28" s="87">
        <f>IF($A28=BN$58,BN$53-SUM(BN$11:BN27), 0)</f>
        <v>0</v>
      </c>
      <c r="BO28" s="8" t="str">
        <f t="shared" si="143"/>
        <v xml:space="preserve">   </v>
      </c>
      <c r="BP28" s="87">
        <f>IF($A28&gt;BN$58, 0, SUM(BN28:BN$47)*BO28*BN$63/BN$64+SUM(BN29:BN$47)*(BN$64-BN$63)/BN$64*BO28)</f>
        <v>0</v>
      </c>
      <c r="BQ28" s="77"/>
      <c r="BR28" s="87">
        <f>IF($A28=BR$58,BR$53-SUM(BR$11:BR27), 0)</f>
        <v>0</v>
      </c>
      <c r="BS28" s="77">
        <f t="shared" si="144"/>
        <v>3.8800000000000008E-2</v>
      </c>
      <c r="BT28" s="87">
        <f>IF($A28&gt;BR$58, 0, SUM(BR28:BR$47)*BS28*BR$63/BR$64+SUM(BR29:BR$47)*(BR$64-BR$63)/BR$64*BS28)</f>
        <v>2910000.0000000005</v>
      </c>
      <c r="BU28" s="87"/>
      <c r="BV28" s="35">
        <f t="shared" si="169"/>
        <v>0</v>
      </c>
      <c r="BW28" s="35">
        <f t="shared" si="170"/>
        <v>2910000.0000000005</v>
      </c>
      <c r="BX28" s="87"/>
      <c r="BY28" s="87">
        <f>IF($A28='Debt Service'!BY$58, 'Debt Service'!BY$53-SUM(BY$11:BY27), 0)</f>
        <v>0</v>
      </c>
      <c r="BZ28" s="8" t="str">
        <f>IF($A28&gt;'Debt Service'!BY$58, "   ",'Debt Service'!BY$54)</f>
        <v xml:space="preserve">   </v>
      </c>
      <c r="CA28" s="87"/>
      <c r="CB28" s="87"/>
      <c r="CC28" s="87">
        <f>IF($A28='Debt Service'!CC$58, 'Debt Service'!CC$53-SUM(CC$11:CC27), 0)</f>
        <v>0</v>
      </c>
      <c r="CD28" s="77" t="str">
        <f t="shared" si="146"/>
        <v xml:space="preserve">   </v>
      </c>
      <c r="CE28" s="87">
        <f>IF(OR($A28&gt;'Debt Service'!CC$58, $A28&lt;CC$51), 0, SUM(CC28:CC$47)*CD28*CC$63/CC$64+SUM(CC29:CC$47)*(CC$64-CC$63)/CC$64*CD28)</f>
        <v>0</v>
      </c>
      <c r="CF28" s="87"/>
      <c r="CG28" s="87">
        <f>IF($A28=CG$58,CG$53-SUM(CG$11:CG27), 0)</f>
        <v>0</v>
      </c>
      <c r="CH28" s="77">
        <f t="shared" si="147"/>
        <v>3.9000000000000007E-2</v>
      </c>
      <c r="CI28" s="87">
        <f>IF($A28&gt;CG$58, 0, SUM(CG28:CG$47)*CH28*CG$63/CG$64+SUM(CG29:CG$47)*(CG$64-CG$63)/CG$64*CH28)</f>
        <v>2925000.0000000005</v>
      </c>
      <c r="CJ28" s="87"/>
      <c r="CK28" s="87">
        <f>IF($A28=CK$58,CK$53-SUM(CK$11:CK27), 0)</f>
        <v>0</v>
      </c>
      <c r="CL28" s="77">
        <f t="shared" si="148"/>
        <v>4.0410000000000001E-2</v>
      </c>
      <c r="CM28" s="87">
        <f>IF($A28&gt;CK$58, 0, SUM(CK28:CK$47)*CL28*CK$63/CK$64+SUM(CK29:CK$47)*(CK$64-CK$63)/CK$64*CL28)</f>
        <v>3030750</v>
      </c>
      <c r="CN28" s="87"/>
      <c r="CO28" s="162">
        <f t="shared" si="149"/>
        <v>0</v>
      </c>
      <c r="CP28" s="87">
        <f t="shared" si="150"/>
        <v>5955750</v>
      </c>
      <c r="CQ28" s="87"/>
      <c r="CR28" s="87">
        <f>IF($A28='Debt Service'!CR$58, 'Debt Service'!CR$53-SUM(CR$11:CR27), 0)</f>
        <v>0</v>
      </c>
      <c r="CS28" s="77" t="str">
        <f t="shared" si="151"/>
        <v xml:space="preserve">   </v>
      </c>
      <c r="CT28" s="87">
        <f>IF($A28&gt;'Debt Service'!CR$58, 0, SUM(CR28:CR$47)*CS28*CR$63/CR$64+SUM(CR29:CR$47)*(CR$64-CR$63)/CR$64*CS28)</f>
        <v>0</v>
      </c>
      <c r="CU28" s="87"/>
      <c r="CV28" s="87">
        <f>IF($A28=CV$58,CV$53-SUM(CV$11:CV27), 0)</f>
        <v>0</v>
      </c>
      <c r="CW28" s="77">
        <f t="shared" si="152"/>
        <v>3.8800000000000008E-2</v>
      </c>
      <c r="CX28" s="87">
        <f>IF($A28&gt;CV$58, 0, SUM(CV28:CV$47)*CW28*CV$63/CV$64+SUM(CV29:CV$47)*(CV$64-CV$63)/CV$64*CW28)</f>
        <v>2910000.0000000005</v>
      </c>
      <c r="CY28" s="87"/>
      <c r="CZ28" s="165">
        <f t="shared" si="153"/>
        <v>0</v>
      </c>
      <c r="DA28" s="165">
        <f t="shared" si="154"/>
        <v>2910000.0000000005</v>
      </c>
      <c r="DB28" s="165"/>
      <c r="DC28" s="87">
        <f t="shared" si="155"/>
        <v>0</v>
      </c>
      <c r="DD28" s="77" t="str">
        <f t="shared" si="156"/>
        <v>---</v>
      </c>
      <c r="DE28" s="87">
        <f t="shared" si="174"/>
        <v>0</v>
      </c>
      <c r="DF28" s="165"/>
      <c r="DG28" s="87">
        <f>IF($A28=DG$58,DG$53-SUM(DG$11:DG27), 0)</f>
        <v>0</v>
      </c>
      <c r="DH28" s="77" t="str">
        <f t="shared" si="158"/>
        <v xml:space="preserve">   </v>
      </c>
      <c r="DI28" s="87">
        <f>IF(OR($A28&gt;DG$58,$A28&lt;DG$51), 0, SUM(DG28:DG$47)*DH28*DG$63/DG$64+SUM(DG29:DG$47)*(DG$64-DG$63)/DG$64*DH28)</f>
        <v>0</v>
      </c>
      <c r="DJ28" s="87"/>
      <c r="DK28" s="87">
        <f>IF($A28=DK$58,DK$53-SUM(DK$11:DK27), 0)</f>
        <v>0</v>
      </c>
      <c r="DL28" s="77" t="str">
        <f t="shared" si="159"/>
        <v xml:space="preserve">   </v>
      </c>
      <c r="DM28" s="87">
        <f>IF(OR($A28&gt;DK$58,$A28&lt;DK$51), 0, SUM(DK28:DK$47)*DL28*DK$63/DK$64+SUM(DK29:DK$47)*(DK$64-DK$63)/DK$64*DL28)</f>
        <v>0</v>
      </c>
      <c r="DN28" s="87"/>
      <c r="DO28" s="87">
        <f>IF($A28=DO$58,DO$53-SUM(DO$11:DO27), 0)</f>
        <v>0</v>
      </c>
      <c r="DP28" s="77" t="str">
        <f t="shared" si="160"/>
        <v xml:space="preserve">   </v>
      </c>
      <c r="DQ28" s="87">
        <f>IF(OR($A28&gt;DO$58,$A28&lt;DO$51), 0, SUM(DO28:DO$47)*DP28*DO$63/DO$64+SUM(DO29:DO$47)*(DO$64-DO$63)/DO$64*DP28)</f>
        <v>0</v>
      </c>
      <c r="DR28" s="165"/>
      <c r="DS28" s="87">
        <f>IF($A28=DS$58,DS$53-SUM(DS$11:DS27), 0)</f>
        <v>0</v>
      </c>
      <c r="DT28" s="77" t="str">
        <f t="shared" si="161"/>
        <v xml:space="preserve">   </v>
      </c>
      <c r="DU28" s="87">
        <f>IF(OR($A28&gt;DS$58,$A28&lt;DS$51), 0, SUM(DS28:DS$47)*DT28*DS$63/DS$64+SUM(DS29:DS$47)*(DS$64-DS$63)/DS$64*DT28)</f>
        <v>0</v>
      </c>
      <c r="DV28" s="165"/>
      <c r="DW28" s="165">
        <f t="shared" si="171"/>
        <v>0</v>
      </c>
      <c r="DX28" s="165">
        <f t="shared" si="172"/>
        <v>18388580.000000004</v>
      </c>
      <c r="DY28" s="87"/>
      <c r="DZ28" s="53">
        <f t="shared" si="162"/>
        <v>2041</v>
      </c>
      <c r="EA28" s="35">
        <f t="shared" si="163"/>
        <v>0</v>
      </c>
      <c r="EB28" s="35">
        <f t="shared" si="164"/>
        <v>18388580.000000004</v>
      </c>
      <c r="EC28" s="35">
        <f t="shared" si="175"/>
        <v>18388580.000000004</v>
      </c>
      <c r="ED28" s="171">
        <f t="shared" si="173"/>
        <v>18</v>
      </c>
      <c r="EE28" s="61">
        <f>EA$53-SUM(EA$10:EA28)</f>
        <v>455000000</v>
      </c>
    </row>
    <row r="29" spans="1:135" s="33" customFormat="1" outlineLevel="1">
      <c r="A29" s="7">
        <f t="shared" si="166"/>
        <v>2042</v>
      </c>
      <c r="B29" s="151">
        <f>Assumptions!B26</f>
        <v>5.3800000000000001E-2</v>
      </c>
      <c r="C29" s="151">
        <f>Assumptions!C26</f>
        <v>5.3800000000000001E-2</v>
      </c>
      <c r="D29" s="151">
        <f>Assumptions!D26</f>
        <v>3.5000000000000003E-2</v>
      </c>
      <c r="E29" s="151">
        <f>Assumptions!E26</f>
        <v>5.2999999999999999E-2</v>
      </c>
      <c r="F29" s="151">
        <f>Assumptions!F26</f>
        <v>0</v>
      </c>
      <c r="G29" s="151">
        <f>Assumptions!G26</f>
        <v>3.0000000000000001E-3</v>
      </c>
      <c r="H29" s="151">
        <f>Assumptions!H26</f>
        <v>8.0000000000000004E-4</v>
      </c>
      <c r="I29" s="151"/>
      <c r="J29" s="151"/>
      <c r="K29" s="151"/>
      <c r="L29" s="8"/>
      <c r="M29" s="87">
        <f>IF($A29=M$58,M$53-SUM(M$11:M28), 0)</f>
        <v>0</v>
      </c>
      <c r="N29" s="8" t="str">
        <f t="shared" si="128"/>
        <v xml:space="preserve">   </v>
      </c>
      <c r="O29" s="87">
        <f>IF($A29&gt;M$58, 0, SUM(M29:M$47)*N29*M$63/M$64+SUM(M30:M$47)*(M$64-M$63)/M$64*N29)</f>
        <v>0</v>
      </c>
      <c r="P29" s="35"/>
      <c r="Q29" s="87">
        <f>IF($A29=Q$58,Q$53-SUM(Q$11:Q28), 0)</f>
        <v>0</v>
      </c>
      <c r="R29" s="8" t="str">
        <f t="shared" si="129"/>
        <v xml:space="preserve">   </v>
      </c>
      <c r="S29" s="87">
        <f>IF($A29&gt;Q$58, 0, SUM(Q29:Q$47)*R29*Q$63/Q$64+SUM(Q30:Q$47)*(Q$64-Q$63)/Q$64*R29)</f>
        <v>0</v>
      </c>
      <c r="T29" s="35"/>
      <c r="U29" s="35">
        <f t="shared" si="130"/>
        <v>0</v>
      </c>
      <c r="V29" s="35">
        <f t="shared" si="131"/>
        <v>0</v>
      </c>
      <c r="W29" s="35"/>
      <c r="X29" s="87">
        <f>IF($A29=X$58,X$53-SUM(X$11:X28), 0)</f>
        <v>0</v>
      </c>
      <c r="Y29" s="8" t="str">
        <f t="shared" si="132"/>
        <v xml:space="preserve">   </v>
      </c>
      <c r="Z29" s="87">
        <f>IF($A29&gt;X$58, 0, SUM(X29:X$47)*Y29*X$63/X$64+SUM(X30:X$47)*(X$64-X$63)/X$64*Y29)</f>
        <v>0</v>
      </c>
      <c r="AA29" s="87"/>
      <c r="AB29" s="87">
        <f>IF($A29=AB$58,AB$53-SUM(AB$11:AB28), 0)</f>
        <v>0</v>
      </c>
      <c r="AC29" s="8" t="str">
        <f t="shared" si="133"/>
        <v xml:space="preserve">   </v>
      </c>
      <c r="AD29" s="87">
        <f>IF($A29&gt;AB$58, 0, SUM(AB29:AB$47)*AC29*AB$63/AB$64+SUM(AB30:AB$47)*(AB$64-AB$63)/AB$64*AC29)</f>
        <v>0</v>
      </c>
      <c r="AE29" s="35"/>
      <c r="AF29" s="87">
        <f>IF($A29=AF$58,AF$53-SUM(AF$11:AF28), 0)</f>
        <v>0</v>
      </c>
      <c r="AG29" s="8" t="str">
        <f t="shared" si="134"/>
        <v xml:space="preserve">   </v>
      </c>
      <c r="AH29" s="87">
        <f>IF($A29&gt;AF$58, 0, SUM(AF29:AF$47)*AG29*AF$63/AF$64+SUM(AF30:AF$47)*(AF$64-AF$63)/AF$64*AG29)</f>
        <v>0</v>
      </c>
      <c r="AI29" s="35"/>
      <c r="AJ29" s="87">
        <f>IF($A29=AJ$58,AJ$53-SUM(AJ$11:AJ28), 0)</f>
        <v>50000000</v>
      </c>
      <c r="AK29" s="77">
        <f t="shared" si="135"/>
        <v>3.8800000000000008E-2</v>
      </c>
      <c r="AL29" s="87">
        <f>IF($A29&gt;AJ$58, 0, SUM(AJ29:AJ$47)*AK29*AJ$63/AJ$64+SUM(AJ30:AJ$47)*(AJ$64-AJ$63)/AJ$64*AK29)</f>
        <v>970000.00000000035</v>
      </c>
      <c r="AM29" s="35"/>
      <c r="AN29" s="87">
        <f>IF($A29='Debt Service'!AN$58, 'Debt Service'!AN$53-SUM(AN$11:AN28), 0)</f>
        <v>0</v>
      </c>
      <c r="AO29" s="77" t="str">
        <f t="shared" si="136"/>
        <v xml:space="preserve">   </v>
      </c>
      <c r="AP29" s="87">
        <f>IF($A29&gt;'Debt Service'!AN$58, 0, SUM(AN29:AN$47)*AO29*AN$63/AN$64+SUM(AN30:AN$47)*(AN$64-AN$63)/AN$64*AO29)</f>
        <v>0</v>
      </c>
      <c r="AQ29" s="35"/>
      <c r="AR29" s="87">
        <f>IF($A29=AR$58,AR$53-SUM(AR$11:AR28), 0)</f>
        <v>0</v>
      </c>
      <c r="AS29" s="77" t="str">
        <f t="shared" si="137"/>
        <v xml:space="preserve">   </v>
      </c>
      <c r="AT29" s="87">
        <f>IF($A29&gt;AR$58, 0, SUM(AR29:AR$47)*AS29*AR$63/AR$64+SUM(AR30:AR$47)*(AR$64-AR$63)/AR$64*AS29)</f>
        <v>0</v>
      </c>
      <c r="AV29" s="35">
        <f t="shared" si="138"/>
        <v>50000000</v>
      </c>
      <c r="AW29" s="35">
        <f t="shared" si="139"/>
        <v>970000.00000000035</v>
      </c>
      <c r="AX29" s="35"/>
      <c r="AY29" s="87">
        <f>IF($A29=AY$58,AY$53-SUM(AY$11:AY28), 0)</f>
        <v>0</v>
      </c>
      <c r="AZ29" s="8" t="str">
        <f t="shared" si="140"/>
        <v xml:space="preserve">   </v>
      </c>
      <c r="BA29" s="87">
        <f>IF($A29&gt;AY$58, 0, SUM(AY29:AY$47)*AZ29*AY$63/AY$64+SUM(AY30:AY$47)*(AY$64-AY$63)/AY$64*AZ29)</f>
        <v>0</v>
      </c>
      <c r="BB29" s="61"/>
      <c r="BC29" s="87">
        <f>IF($A29=BC$58,BC$53-SUM(BC$11:BC28), 0)</f>
        <v>0</v>
      </c>
      <c r="BD29" s="77">
        <f t="shared" si="141"/>
        <v>4.3646000000000004E-2</v>
      </c>
      <c r="BE29" s="87">
        <f>IF($A29&gt;BC$58, 0, SUM(BC29:BC$47)*BD29*BC$63/BC$64+SUM(BC30:BC$47)*(BC$64-BC$63)/BC$64*BD29)</f>
        <v>1309380.0000000002</v>
      </c>
      <c r="BF29" s="61"/>
      <c r="BG29" s="87">
        <f>IF($A29=BG$58,BG$53-SUM(BG$11:BG28), 0)</f>
        <v>0</v>
      </c>
      <c r="BH29" s="77">
        <f t="shared" si="142"/>
        <v>4.4846000000000004E-2</v>
      </c>
      <c r="BI29" s="87">
        <f>IF($A29&gt;BG$58, 0, SUM(BG29:BG$47)*BH29*BG$63/BG$64+SUM(BG30:BG$47)*(BG$64-BG$63)/BG$64*BH29)</f>
        <v>3363450.0000000005</v>
      </c>
      <c r="BJ29" s="61"/>
      <c r="BK29" s="35">
        <f t="shared" si="167"/>
        <v>0</v>
      </c>
      <c r="BL29" s="35">
        <f t="shared" si="168"/>
        <v>4672830.0000000009</v>
      </c>
      <c r="BM29" s="8"/>
      <c r="BN29" s="87">
        <f>IF($A29=BN$58,BN$53-SUM(BN$11:BN28), 0)</f>
        <v>0</v>
      </c>
      <c r="BO29" s="8" t="str">
        <f t="shared" si="143"/>
        <v xml:space="preserve">   </v>
      </c>
      <c r="BP29" s="87">
        <f>IF($A29&gt;BN$58, 0, SUM(BN29:BN$47)*BO29*BN$63/BN$64+SUM(BN30:BN$47)*(BN$64-BN$63)/BN$64*BO29)</f>
        <v>0</v>
      </c>
      <c r="BQ29" s="77"/>
      <c r="BR29" s="87">
        <f>IF($A29=BR$58,BR$53-SUM(BR$11:BR28), 0)</f>
        <v>0</v>
      </c>
      <c r="BS29" s="77">
        <f t="shared" si="144"/>
        <v>3.8800000000000008E-2</v>
      </c>
      <c r="BT29" s="87">
        <f>IF($A29&gt;BR$58, 0, SUM(BR29:BR$47)*BS29*BR$63/BR$64+SUM(BR30:BR$47)*(BR$64-BR$63)/BR$64*BS29)</f>
        <v>2910000.0000000005</v>
      </c>
      <c r="BU29" s="87"/>
      <c r="BV29" s="35">
        <f t="shared" si="169"/>
        <v>0</v>
      </c>
      <c r="BW29" s="35">
        <f t="shared" si="170"/>
        <v>2910000.0000000005</v>
      </c>
      <c r="BX29" s="87"/>
      <c r="BY29" s="87">
        <f>IF($A29='Debt Service'!BY$58, 'Debt Service'!BY$53-SUM(BY$11:BY28), 0)</f>
        <v>0</v>
      </c>
      <c r="BZ29" s="8" t="str">
        <f>IF($A29&gt;'Debt Service'!BY$58, "   ",'Debt Service'!BY$54)</f>
        <v xml:space="preserve">   </v>
      </c>
      <c r="CA29" s="87"/>
      <c r="CB29" s="87"/>
      <c r="CC29" s="87">
        <f>IF($A29='Debt Service'!CC$58, 'Debt Service'!CC$53-SUM(CC$11:CC28), 0)</f>
        <v>0</v>
      </c>
      <c r="CD29" s="77" t="str">
        <f t="shared" si="146"/>
        <v xml:space="preserve">   </v>
      </c>
      <c r="CE29" s="87">
        <f>IF(OR($A29&gt;'Debt Service'!CC$58, $A29&lt;CC$51), 0, SUM(CC29:CC$47)*CD29*CC$63/CC$64+SUM(CC30:CC$47)*(CC$64-CC$63)/CC$64*CD29)</f>
        <v>0</v>
      </c>
      <c r="CF29" s="87"/>
      <c r="CG29" s="87">
        <f>IF($A29=CG$58,CG$53-SUM(CG$11:CG28), 0)</f>
        <v>0</v>
      </c>
      <c r="CH29" s="77">
        <f t="shared" si="147"/>
        <v>3.9000000000000007E-2</v>
      </c>
      <c r="CI29" s="87">
        <f>IF($A29&gt;CG$58, 0, SUM(CG29:CG$47)*CH29*CG$63/CG$64+SUM(CG30:CG$47)*(CG$64-CG$63)/CG$64*CH29)</f>
        <v>2925000.0000000005</v>
      </c>
      <c r="CJ29" s="87"/>
      <c r="CK29" s="87">
        <f>IF($A29=CK$58,CK$53-SUM(CK$11:CK28), 0)</f>
        <v>0</v>
      </c>
      <c r="CL29" s="77">
        <f t="shared" si="148"/>
        <v>4.0410000000000001E-2</v>
      </c>
      <c r="CM29" s="87">
        <f>IF($A29&gt;CK$58, 0, SUM(CK29:CK$47)*CL29*CK$63/CK$64+SUM(CK30:CK$47)*(CK$64-CK$63)/CK$64*CL29)</f>
        <v>3030750</v>
      </c>
      <c r="CN29" s="87"/>
      <c r="CO29" s="162">
        <f t="shared" si="149"/>
        <v>0</v>
      </c>
      <c r="CP29" s="87">
        <f t="shared" si="150"/>
        <v>5955750</v>
      </c>
      <c r="CQ29" s="87"/>
      <c r="CR29" s="87">
        <f>IF($A29='Debt Service'!CR$58, 'Debt Service'!CR$53-SUM(CR$11:CR28), 0)</f>
        <v>0</v>
      </c>
      <c r="CS29" s="77" t="str">
        <f t="shared" si="151"/>
        <v xml:space="preserve">   </v>
      </c>
      <c r="CT29" s="87">
        <f>IF($A29&gt;'Debt Service'!CR$58, 0, SUM(CR29:CR$47)*CS29*CR$63/CR$64+SUM(CR30:CR$47)*(CR$64-CR$63)/CR$64*CS29)</f>
        <v>0</v>
      </c>
      <c r="CU29" s="87"/>
      <c r="CV29" s="87">
        <f>IF($A29=CV$58,CV$53-SUM(CV$11:CV28), 0)</f>
        <v>0</v>
      </c>
      <c r="CW29" s="77">
        <f t="shared" si="152"/>
        <v>3.8800000000000008E-2</v>
      </c>
      <c r="CX29" s="87">
        <f>IF($A29&gt;CV$58, 0, SUM(CV29:CV$47)*CW29*CV$63/CV$64+SUM(CV30:CV$47)*(CV$64-CV$63)/CV$64*CW29)</f>
        <v>2910000.0000000005</v>
      </c>
      <c r="CY29" s="87"/>
      <c r="CZ29" s="165">
        <f t="shared" si="153"/>
        <v>0</v>
      </c>
      <c r="DA29" s="165">
        <f t="shared" si="154"/>
        <v>2910000.0000000005</v>
      </c>
      <c r="DB29" s="165"/>
      <c r="DC29" s="87">
        <f t="shared" si="155"/>
        <v>0</v>
      </c>
      <c r="DD29" s="77" t="str">
        <f t="shared" si="156"/>
        <v>---</v>
      </c>
      <c r="DE29" s="87">
        <f t="shared" si="174"/>
        <v>0</v>
      </c>
      <c r="DF29" s="165"/>
      <c r="DG29" s="87">
        <f>IF($A29=DG$58,DG$53-SUM(DG$11:DG28), 0)</f>
        <v>0</v>
      </c>
      <c r="DH29" s="77" t="str">
        <f t="shared" si="158"/>
        <v xml:space="preserve">   </v>
      </c>
      <c r="DI29" s="87">
        <f>IF(OR($A29&gt;DG$58,$A29&lt;DG$51), 0, SUM(DG29:DG$47)*DH29*DG$63/DG$64+SUM(DG30:DG$47)*(DG$64-DG$63)/DG$64*DH29)</f>
        <v>0</v>
      </c>
      <c r="DJ29" s="87"/>
      <c r="DK29" s="87">
        <f>IF($A29=DK$58,DK$53-SUM(DK$11:DK28), 0)</f>
        <v>0</v>
      </c>
      <c r="DL29" s="77" t="str">
        <f t="shared" si="159"/>
        <v xml:space="preserve">   </v>
      </c>
      <c r="DM29" s="87">
        <f>IF(OR($A29&gt;DK$58,$A29&lt;DK$51), 0, SUM(DK29:DK$47)*DL29*DK$63/DK$64+SUM(DK30:DK$47)*(DK$64-DK$63)/DK$64*DL29)</f>
        <v>0</v>
      </c>
      <c r="DN29" s="87"/>
      <c r="DO29" s="87">
        <f>IF($A29=DO$58,DO$53-SUM(DO$11:DO28), 0)</f>
        <v>0</v>
      </c>
      <c r="DP29" s="77" t="str">
        <f t="shared" si="160"/>
        <v xml:space="preserve">   </v>
      </c>
      <c r="DQ29" s="87">
        <f>IF(OR($A29&gt;DO$58,$A29&lt;DO$51), 0, SUM(DO29:DO$47)*DP29*DO$63/DO$64+SUM(DO30:DO$47)*(DO$64-DO$63)/DO$64*DP29)</f>
        <v>0</v>
      </c>
      <c r="DR29" s="165"/>
      <c r="DS29" s="87">
        <f>IF($A29=DS$58,DS$53-SUM(DS$11:DS28), 0)</f>
        <v>0</v>
      </c>
      <c r="DT29" s="77" t="str">
        <f t="shared" si="161"/>
        <v xml:space="preserve">   </v>
      </c>
      <c r="DU29" s="87">
        <f>IF(OR($A29&gt;DS$58,$A29&lt;DS$51), 0, SUM(DS29:DS$47)*DT29*DS$63/DS$64+SUM(DS30:DS$47)*(DS$64-DS$63)/DS$64*DT29)</f>
        <v>0</v>
      </c>
      <c r="DV29" s="165"/>
      <c r="DW29" s="165">
        <f t="shared" si="171"/>
        <v>50000000</v>
      </c>
      <c r="DX29" s="165">
        <f t="shared" si="172"/>
        <v>17418580.000000004</v>
      </c>
      <c r="DY29" s="87"/>
      <c r="DZ29" s="53">
        <f t="shared" si="162"/>
        <v>2042</v>
      </c>
      <c r="EA29" s="35">
        <f t="shared" si="163"/>
        <v>50000000</v>
      </c>
      <c r="EB29" s="35">
        <f t="shared" si="164"/>
        <v>17418580.000000004</v>
      </c>
      <c r="EC29" s="35">
        <f t="shared" si="175"/>
        <v>67418580</v>
      </c>
      <c r="ED29" s="171">
        <f t="shared" si="173"/>
        <v>19</v>
      </c>
      <c r="EE29" s="61">
        <f>EA$53-SUM(EA$10:EA29)</f>
        <v>405000000</v>
      </c>
    </row>
    <row r="30" spans="1:135" s="33" customFormat="1" outlineLevel="1">
      <c r="A30" s="7">
        <f t="shared" si="166"/>
        <v>2043</v>
      </c>
      <c r="B30" s="151">
        <f>Assumptions!B27</f>
        <v>5.3800000000000001E-2</v>
      </c>
      <c r="C30" s="151">
        <f>Assumptions!C27</f>
        <v>5.3800000000000001E-2</v>
      </c>
      <c r="D30" s="151">
        <f>Assumptions!D27</f>
        <v>3.5000000000000003E-2</v>
      </c>
      <c r="E30" s="151">
        <f>Assumptions!E27</f>
        <v>5.2999999999999999E-2</v>
      </c>
      <c r="F30" s="151">
        <f>Assumptions!F27</f>
        <v>0</v>
      </c>
      <c r="G30" s="151">
        <f>Assumptions!G27</f>
        <v>3.0000000000000001E-3</v>
      </c>
      <c r="H30" s="151">
        <f>Assumptions!H27</f>
        <v>8.0000000000000004E-4</v>
      </c>
      <c r="I30" s="151"/>
      <c r="J30" s="151"/>
      <c r="K30" s="151"/>
      <c r="L30" s="8"/>
      <c r="M30" s="87">
        <f>IF($A30=M$58,M$53-SUM(M$11:M29), 0)</f>
        <v>0</v>
      </c>
      <c r="N30" s="8" t="str">
        <f t="shared" si="128"/>
        <v xml:space="preserve">   </v>
      </c>
      <c r="O30" s="87">
        <f>IF($A30&gt;M$58, 0, SUM(M30:M$47)*N30*M$63/M$64+SUM(M31:M$47)*(M$64-M$63)/M$64*N30)</f>
        <v>0</v>
      </c>
      <c r="P30" s="35"/>
      <c r="Q30" s="87">
        <f>IF($A30=Q$58,Q$53-SUM(Q$11:Q29), 0)</f>
        <v>0</v>
      </c>
      <c r="R30" s="8" t="str">
        <f t="shared" si="129"/>
        <v xml:space="preserve">   </v>
      </c>
      <c r="S30" s="87">
        <f>IF($A30&gt;Q$58, 0, SUM(Q30:Q$47)*R30*Q$63/Q$64+SUM(Q31:Q$47)*(Q$64-Q$63)/Q$64*R30)</f>
        <v>0</v>
      </c>
      <c r="T30" s="35"/>
      <c r="U30" s="35">
        <f t="shared" si="130"/>
        <v>0</v>
      </c>
      <c r="V30" s="35">
        <f t="shared" si="131"/>
        <v>0</v>
      </c>
      <c r="W30" s="2"/>
      <c r="X30" s="87">
        <f>IF($A30=X$58,X$53-SUM(X$11:X29), 0)</f>
        <v>0</v>
      </c>
      <c r="Y30" s="8" t="str">
        <f t="shared" si="132"/>
        <v xml:space="preserve">   </v>
      </c>
      <c r="Z30" s="87">
        <f>IF($A30&gt;X$58, 0, SUM(X30:X$47)*Y30*X$63/X$64+SUM(X31:X$47)*(X$64-X$63)/X$64*Y30)</f>
        <v>0</v>
      </c>
      <c r="AA30" s="87"/>
      <c r="AB30" s="87">
        <f>IF($A30=AB$58,AB$53-SUM(AB$11:AB29), 0)</f>
        <v>0</v>
      </c>
      <c r="AC30" s="8" t="str">
        <f t="shared" si="133"/>
        <v xml:space="preserve">   </v>
      </c>
      <c r="AD30" s="87">
        <f>IF($A30&gt;AB$58, 0, SUM(AB30:AB$47)*AC30*AB$63/AB$64+SUM(AB31:AB$47)*(AB$64-AB$63)/AB$64*AC30)</f>
        <v>0</v>
      </c>
      <c r="AE30" s="35"/>
      <c r="AF30" s="87">
        <f>IF($A30=AF$58,AF$53-SUM(AF$11:AF29), 0)</f>
        <v>0</v>
      </c>
      <c r="AG30" s="8" t="str">
        <f t="shared" si="134"/>
        <v xml:space="preserve">   </v>
      </c>
      <c r="AH30" s="87">
        <f>IF($A30&gt;AF$58, 0, SUM(AF30:AF$47)*AG30*AF$63/AF$64+SUM(AF31:AF$47)*(AF$64-AF$63)/AF$64*AG30)</f>
        <v>0</v>
      </c>
      <c r="AI30" s="35"/>
      <c r="AJ30" s="87">
        <f>IF($A30=AJ$58,AJ$53-SUM(AJ$11:AJ29), 0)</f>
        <v>0</v>
      </c>
      <c r="AK30" s="77" t="str">
        <f t="shared" si="135"/>
        <v xml:space="preserve">   </v>
      </c>
      <c r="AL30" s="87">
        <f>IF($A30&gt;AJ$58, 0, SUM(AJ30:AJ$47)*AK30*AJ$63/AJ$64+SUM(AJ31:AJ$47)*(AJ$64-AJ$63)/AJ$64*AK30)</f>
        <v>0</v>
      </c>
      <c r="AM30" s="35"/>
      <c r="AN30" s="87">
        <f>IF($A30='Debt Service'!AN$58, 'Debt Service'!AN$53-SUM(AN$11:AN29), 0)</f>
        <v>0</v>
      </c>
      <c r="AO30" s="77" t="str">
        <f t="shared" si="136"/>
        <v xml:space="preserve">   </v>
      </c>
      <c r="AP30" s="87">
        <f>IF($A30&gt;'Debt Service'!AN$58, 0, SUM(AN30:AN$47)*AO30*AN$63/AN$64+SUM(AN31:AN$47)*(AN$64-AN$63)/AN$64*AO30)</f>
        <v>0</v>
      </c>
      <c r="AQ30" s="35"/>
      <c r="AR30" s="87">
        <f>IF($A30=AR$58,AR$53-SUM(AR$11:AR29), 0)</f>
        <v>0</v>
      </c>
      <c r="AS30" s="77" t="str">
        <f t="shared" si="137"/>
        <v xml:space="preserve">   </v>
      </c>
      <c r="AT30" s="87">
        <f>IF($A30&gt;AR$58, 0, SUM(AR30:AR$47)*AS30*AR$63/AR$64+SUM(AR31:AR$47)*(AR$64-AR$63)/AR$64*AS30)</f>
        <v>0</v>
      </c>
      <c r="AV30" s="35">
        <f t="shared" si="138"/>
        <v>0</v>
      </c>
      <c r="AW30" s="35">
        <f t="shared" si="139"/>
        <v>0</v>
      </c>
      <c r="AX30" s="35"/>
      <c r="AY30" s="87">
        <f>IF($A30=AY$58,AY$53-SUM(AY$11:AY29), 0)</f>
        <v>0</v>
      </c>
      <c r="AZ30" s="8" t="str">
        <f t="shared" si="140"/>
        <v xml:space="preserve">   </v>
      </c>
      <c r="BA30" s="87">
        <f>IF($A30&gt;AY$58, 0, SUM(AY30:AY$47)*AZ30*AY$63/AY$64+SUM(AY31:AY$47)*(AY$64-AY$63)/AY$64*AZ30)</f>
        <v>0</v>
      </c>
      <c r="BB30" s="61"/>
      <c r="BC30" s="87">
        <f>IF($A30=BC$58,BC$53-SUM(BC$11:BC29), 0)</f>
        <v>0</v>
      </c>
      <c r="BD30" s="77">
        <f t="shared" si="141"/>
        <v>4.3646000000000004E-2</v>
      </c>
      <c r="BE30" s="87">
        <f>IF($A30&gt;BC$58, 0, SUM(BC30:BC$47)*BD30*BC$63/BC$64+SUM(BC31:BC$47)*(BC$64-BC$63)/BC$64*BD30)</f>
        <v>1309380.0000000002</v>
      </c>
      <c r="BF30" s="61"/>
      <c r="BG30" s="87">
        <f>IF($A30=BG$58,BG$53-SUM(BG$11:BG29), 0)</f>
        <v>0</v>
      </c>
      <c r="BH30" s="77">
        <f t="shared" si="142"/>
        <v>4.4846000000000004E-2</v>
      </c>
      <c r="BI30" s="87">
        <f>IF($A30&gt;BG$58, 0, SUM(BG30:BG$47)*BH30*BG$63/BG$64+SUM(BG31:BG$47)*(BG$64-BG$63)/BG$64*BH30)</f>
        <v>3363450.0000000005</v>
      </c>
      <c r="BJ30" s="61"/>
      <c r="BK30" s="35">
        <f t="shared" si="167"/>
        <v>0</v>
      </c>
      <c r="BL30" s="35">
        <f t="shared" si="168"/>
        <v>4672830.0000000009</v>
      </c>
      <c r="BM30" s="8"/>
      <c r="BN30" s="87">
        <f>IF($A30=BN$58,BN$53-SUM(BN$11:BN29), 0)</f>
        <v>0</v>
      </c>
      <c r="BO30" s="8" t="str">
        <f t="shared" si="143"/>
        <v xml:space="preserve">   </v>
      </c>
      <c r="BP30" s="87">
        <f>IF($A30&gt;BN$58, 0, SUM(BN30:BN$47)*BO30*BN$63/BN$64+SUM(BN31:BN$47)*(BN$64-BN$63)/BN$64*BO30)</f>
        <v>0</v>
      </c>
      <c r="BQ30" s="77"/>
      <c r="BR30" s="87">
        <f>IF($A30=BR$58,BR$53-SUM(BR$11:BR29), 0)</f>
        <v>0</v>
      </c>
      <c r="BS30" s="77">
        <f t="shared" si="144"/>
        <v>3.8800000000000008E-2</v>
      </c>
      <c r="BT30" s="87">
        <f>IF($A30&gt;BR$58, 0, SUM(BR30:BR$47)*BS30*BR$63/BR$64+SUM(BR31:BR$47)*(BR$64-BR$63)/BR$64*BS30)</f>
        <v>2910000.0000000005</v>
      </c>
      <c r="BU30" s="87"/>
      <c r="BV30" s="35">
        <f t="shared" si="169"/>
        <v>0</v>
      </c>
      <c r="BW30" s="35">
        <f t="shared" si="170"/>
        <v>2910000.0000000005</v>
      </c>
      <c r="BX30" s="87"/>
      <c r="BY30" s="87">
        <f>IF($A30='Debt Service'!BY$58, 'Debt Service'!BY$53-SUM(BY$11:BY29), 0)</f>
        <v>0</v>
      </c>
      <c r="BZ30" s="8" t="str">
        <f>IF($A30&gt;'Debt Service'!BY$58, "   ",'Debt Service'!BY$54)</f>
        <v xml:space="preserve">   </v>
      </c>
      <c r="CA30" s="87"/>
      <c r="CB30" s="87"/>
      <c r="CC30" s="87">
        <f>IF($A30='Debt Service'!CC$58, 'Debt Service'!CC$53-SUM(CC$11:CC29), 0)</f>
        <v>0</v>
      </c>
      <c r="CD30" s="77" t="str">
        <f t="shared" si="146"/>
        <v xml:space="preserve">   </v>
      </c>
      <c r="CE30" s="87">
        <f>IF(OR($A30&gt;'Debt Service'!CC$58, $A30&lt;CC$51), 0, SUM(CC30:CC$47)*CD30*CC$63/CC$64+SUM(CC31:CC$47)*(CC$64-CC$63)/CC$64*CD30)</f>
        <v>0</v>
      </c>
      <c r="CF30" s="87"/>
      <c r="CG30" s="87">
        <f>IF($A30=CG$58,CG$53-SUM(CG$11:CG29), 0)</f>
        <v>0</v>
      </c>
      <c r="CH30" s="77">
        <f t="shared" si="147"/>
        <v>3.9000000000000007E-2</v>
      </c>
      <c r="CI30" s="87">
        <f>IF($A30&gt;CG$58, 0, SUM(CG30:CG$47)*CH30*CG$63/CG$64+SUM(CG31:CG$47)*(CG$64-CG$63)/CG$64*CH30)</f>
        <v>2925000.0000000005</v>
      </c>
      <c r="CJ30" s="87"/>
      <c r="CK30" s="87">
        <f>IF($A30=CK$58,CK$53-SUM(CK$11:CK29), 0)</f>
        <v>0</v>
      </c>
      <c r="CL30" s="77">
        <f t="shared" si="148"/>
        <v>4.0410000000000001E-2</v>
      </c>
      <c r="CM30" s="87">
        <f>IF($A30&gt;CK$58, 0, SUM(CK30:CK$47)*CL30*CK$63/CK$64+SUM(CK31:CK$47)*(CK$64-CK$63)/CK$64*CL30)</f>
        <v>3030750</v>
      </c>
      <c r="CN30" s="87"/>
      <c r="CO30" s="162">
        <f t="shared" si="149"/>
        <v>0</v>
      </c>
      <c r="CP30" s="87">
        <f t="shared" si="150"/>
        <v>5955750</v>
      </c>
      <c r="CQ30" s="87"/>
      <c r="CR30" s="87">
        <f>IF($A30='Debt Service'!CR$58, 'Debt Service'!CR$53-SUM(CR$11:CR29), 0)</f>
        <v>0</v>
      </c>
      <c r="CS30" s="77" t="str">
        <f t="shared" si="151"/>
        <v xml:space="preserve">   </v>
      </c>
      <c r="CT30" s="87">
        <f>IF($A30&gt;'Debt Service'!CR$58, 0, SUM(CR30:CR$47)*CS30*CR$63/CR$64+SUM(CR31:CR$47)*(CR$64-CR$63)/CR$64*CS30)</f>
        <v>0</v>
      </c>
      <c r="CU30" s="87"/>
      <c r="CV30" s="87">
        <f>IF($A30=CV$58,CV$53-SUM(CV$11:CV29), 0)</f>
        <v>0</v>
      </c>
      <c r="CW30" s="77">
        <f t="shared" si="152"/>
        <v>3.8800000000000008E-2</v>
      </c>
      <c r="CX30" s="87">
        <f>IF($A30&gt;CV$58, 0, SUM(CV30:CV$47)*CW30*CV$63/CV$64+SUM(CV31:CV$47)*(CV$64-CV$63)/CV$64*CW30)</f>
        <v>2910000.0000000005</v>
      </c>
      <c r="CY30" s="87"/>
      <c r="CZ30" s="165">
        <f t="shared" si="153"/>
        <v>0</v>
      </c>
      <c r="DA30" s="165">
        <f t="shared" si="154"/>
        <v>2910000.0000000005</v>
      </c>
      <c r="DB30" s="165"/>
      <c r="DC30" s="87">
        <f t="shared" si="155"/>
        <v>0</v>
      </c>
      <c r="DD30" s="77" t="str">
        <f t="shared" si="156"/>
        <v>---</v>
      </c>
      <c r="DE30" s="87">
        <f t="shared" si="174"/>
        <v>0</v>
      </c>
      <c r="DF30" s="165"/>
      <c r="DG30" s="87">
        <f>IF($A30=DG$58,DG$53-SUM(DG$11:DG29), 0)</f>
        <v>0</v>
      </c>
      <c r="DH30" s="77" t="str">
        <f t="shared" si="158"/>
        <v xml:space="preserve">   </v>
      </c>
      <c r="DI30" s="87">
        <f>IF(OR($A30&gt;DG$58,$A30&lt;DG$51), 0, SUM(DG30:DG$47)*DH30*DG$63/DG$64+SUM(DG31:DG$47)*(DG$64-DG$63)/DG$64*DH30)</f>
        <v>0</v>
      </c>
      <c r="DJ30" s="87"/>
      <c r="DK30" s="87">
        <f>IF($A30=DK$58,DK$53-SUM(DK$11:DK29), 0)</f>
        <v>0</v>
      </c>
      <c r="DL30" s="77" t="str">
        <f t="shared" si="159"/>
        <v xml:space="preserve">   </v>
      </c>
      <c r="DM30" s="87">
        <f>IF(OR($A30&gt;DK$58,$A30&lt;DK$51), 0, SUM(DK30:DK$47)*DL30*DK$63/DK$64+SUM(DK31:DK$47)*(DK$64-DK$63)/DK$64*DL30)</f>
        <v>0</v>
      </c>
      <c r="DN30" s="87"/>
      <c r="DO30" s="87">
        <f>IF($A30=DO$58,DO$53-SUM(DO$11:DO29), 0)</f>
        <v>0</v>
      </c>
      <c r="DP30" s="77" t="str">
        <f t="shared" si="160"/>
        <v xml:space="preserve">   </v>
      </c>
      <c r="DQ30" s="87">
        <f>IF(OR($A30&gt;DO$58,$A30&lt;DO$51), 0, SUM(DO30:DO$47)*DP30*DO$63/DO$64+SUM(DO31:DO$47)*(DO$64-DO$63)/DO$64*DP30)</f>
        <v>0</v>
      </c>
      <c r="DR30" s="165"/>
      <c r="DS30" s="87">
        <f>IF($A30=DS$58,DS$53-SUM(DS$11:DS29), 0)</f>
        <v>0</v>
      </c>
      <c r="DT30" s="77" t="str">
        <f t="shared" si="161"/>
        <v xml:space="preserve">   </v>
      </c>
      <c r="DU30" s="87">
        <f>IF(OR($A30&gt;DS$58,$A30&lt;DS$51), 0, SUM(DS30:DS$47)*DT30*DS$63/DS$64+SUM(DS31:DS$47)*(DS$64-DS$63)/DS$64*DT30)</f>
        <v>0</v>
      </c>
      <c r="DV30" s="165"/>
      <c r="DW30" s="165">
        <f t="shared" si="171"/>
        <v>0</v>
      </c>
      <c r="DX30" s="165">
        <f t="shared" si="172"/>
        <v>16448580.000000002</v>
      </c>
      <c r="DY30" s="87"/>
      <c r="DZ30" s="53">
        <f t="shared" si="162"/>
        <v>2043</v>
      </c>
      <c r="EA30" s="35">
        <f t="shared" si="163"/>
        <v>0</v>
      </c>
      <c r="EB30" s="35">
        <f t="shared" si="164"/>
        <v>16448580.000000002</v>
      </c>
      <c r="EC30" s="35">
        <f t="shared" si="175"/>
        <v>16448580.000000002</v>
      </c>
      <c r="ED30" s="171">
        <f t="shared" si="173"/>
        <v>20</v>
      </c>
      <c r="EE30" s="61">
        <f>EA$53-SUM(EA$10:EA30)</f>
        <v>405000000</v>
      </c>
    </row>
    <row r="31" spans="1:135" s="33" customFormat="1" outlineLevel="1">
      <c r="A31" s="7">
        <f t="shared" si="166"/>
        <v>2044</v>
      </c>
      <c r="B31" s="151">
        <f>Assumptions!B28</f>
        <v>5.3800000000000001E-2</v>
      </c>
      <c r="C31" s="151">
        <f>Assumptions!C28</f>
        <v>5.3800000000000001E-2</v>
      </c>
      <c r="D31" s="151">
        <f>Assumptions!D28</f>
        <v>3.5000000000000003E-2</v>
      </c>
      <c r="E31" s="151">
        <f>Assumptions!E28</f>
        <v>5.2999999999999999E-2</v>
      </c>
      <c r="F31" s="151">
        <f>Assumptions!F28</f>
        <v>0</v>
      </c>
      <c r="G31" s="151">
        <f>Assumptions!G28</f>
        <v>3.0000000000000001E-3</v>
      </c>
      <c r="H31" s="151">
        <f>Assumptions!H28</f>
        <v>8.0000000000000004E-4</v>
      </c>
      <c r="I31" s="151"/>
      <c r="J31" s="151"/>
      <c r="K31" s="151"/>
      <c r="L31" s="8"/>
      <c r="M31" s="87">
        <f>IF($A31=M$58,M$53-SUM(M$11:M30), 0)</f>
        <v>0</v>
      </c>
      <c r="N31" s="8" t="str">
        <f t="shared" si="128"/>
        <v xml:space="preserve">   </v>
      </c>
      <c r="O31" s="87">
        <f>IF($A31&gt;M$58, 0, SUM(M31:M$47)*N31*M$63/M$64+SUM(M32:M$47)*(M$64-M$63)/M$64*N31)</f>
        <v>0</v>
      </c>
      <c r="P31" s="35"/>
      <c r="Q31" s="87">
        <f>IF($A31=Q$58,Q$53-SUM(Q$11:Q30), 0)</f>
        <v>0</v>
      </c>
      <c r="R31" s="8" t="str">
        <f t="shared" si="129"/>
        <v xml:space="preserve">   </v>
      </c>
      <c r="S31" s="87">
        <f>IF($A31&gt;Q$58, 0, SUM(Q31:Q$47)*R31*Q$63/Q$64+SUM(Q32:Q$47)*(Q$64-Q$63)/Q$64*R31)</f>
        <v>0</v>
      </c>
      <c r="T31" s="35"/>
      <c r="U31" s="35">
        <f t="shared" si="130"/>
        <v>0</v>
      </c>
      <c r="V31" s="35">
        <f t="shared" si="131"/>
        <v>0</v>
      </c>
      <c r="W31" s="35"/>
      <c r="X31" s="87">
        <f>IF($A31=X$58,X$53-SUM(X$11:X30), 0)</f>
        <v>0</v>
      </c>
      <c r="Y31" s="8" t="str">
        <f t="shared" si="132"/>
        <v xml:space="preserve">   </v>
      </c>
      <c r="Z31" s="87">
        <f>IF($A31&gt;X$58, 0, SUM(X31:X$47)*Y31*X$63/X$64+SUM(X32:X$47)*(X$64-X$63)/X$64*Y31)</f>
        <v>0</v>
      </c>
      <c r="AA31" s="87"/>
      <c r="AB31" s="87">
        <f>IF($A31=AB$58,AB$53-SUM(AB$11:AB30), 0)</f>
        <v>0</v>
      </c>
      <c r="AC31" s="8" t="str">
        <f t="shared" si="133"/>
        <v xml:space="preserve">   </v>
      </c>
      <c r="AD31" s="87">
        <f>IF($A31&gt;AB$58, 0, SUM(AB31:AB$47)*AC31*AB$63/AB$64+SUM(AB32:AB$47)*(AB$64-AB$63)/AB$64*AC31)</f>
        <v>0</v>
      </c>
      <c r="AE31" s="35"/>
      <c r="AF31" s="87">
        <f>IF($A31=AF$58,AF$53-SUM(AF$11:AF30), 0)</f>
        <v>0</v>
      </c>
      <c r="AG31" s="8" t="str">
        <f t="shared" si="134"/>
        <v xml:space="preserve">   </v>
      </c>
      <c r="AH31" s="87">
        <f>IF($A31&gt;AF$58, 0, SUM(AF31:AF$47)*AG31*AF$63/AF$64+SUM(AF32:AF$47)*(AF$64-AF$63)/AF$64*AG31)</f>
        <v>0</v>
      </c>
      <c r="AI31" s="35"/>
      <c r="AJ31" s="87">
        <f>IF($A31=AJ$58,AJ$53-SUM(AJ$11:AJ30), 0)</f>
        <v>0</v>
      </c>
      <c r="AK31" s="77" t="str">
        <f t="shared" si="135"/>
        <v xml:space="preserve">   </v>
      </c>
      <c r="AL31" s="87">
        <f>IF($A31&gt;AJ$58, 0, SUM(AJ31:AJ$47)*AK31*AJ$63/AJ$64+SUM(AJ32:AJ$47)*(AJ$64-AJ$63)/AJ$64*AK31)</f>
        <v>0</v>
      </c>
      <c r="AM31" s="35"/>
      <c r="AN31" s="87">
        <f>IF($A31='Debt Service'!AN$58, 'Debt Service'!AN$53-SUM(AN$11:AN30), 0)</f>
        <v>0</v>
      </c>
      <c r="AO31" s="77" t="str">
        <f t="shared" si="136"/>
        <v xml:space="preserve">   </v>
      </c>
      <c r="AP31" s="87">
        <f>IF($A31&gt;'Debt Service'!AN$58, 0, SUM(AN31:AN$47)*AO31*AN$63/AN$64+SUM(AN32:AN$47)*(AN$64-AN$63)/AN$64*AO31)</f>
        <v>0</v>
      </c>
      <c r="AQ31" s="35"/>
      <c r="AR31" s="87">
        <f>IF($A31=AR$58,AR$53-SUM(AR$11:AR30), 0)</f>
        <v>0</v>
      </c>
      <c r="AS31" s="77" t="str">
        <f t="shared" si="137"/>
        <v xml:space="preserve">   </v>
      </c>
      <c r="AT31" s="87">
        <f>IF($A31&gt;AR$58, 0, SUM(AR31:AR$47)*AS31*AR$63/AR$64+SUM(AR32:AR$47)*(AR$64-AR$63)/AR$64*AS31)</f>
        <v>0</v>
      </c>
      <c r="AV31" s="35">
        <f t="shared" si="138"/>
        <v>0</v>
      </c>
      <c r="AW31" s="35">
        <f t="shared" si="139"/>
        <v>0</v>
      </c>
      <c r="AX31" s="35"/>
      <c r="AY31" s="87">
        <f>IF($A31=AY$58,AY$53-SUM(AY$11:AY30), 0)</f>
        <v>0</v>
      </c>
      <c r="AZ31" s="8" t="str">
        <f t="shared" si="140"/>
        <v xml:space="preserve">   </v>
      </c>
      <c r="BA31" s="87">
        <f>IF($A31&gt;AY$58, 0, SUM(AY31:AY$47)*AZ31*AY$63/AY$64+SUM(AY32:AY$47)*(AY$64-AY$63)/AY$64*AZ31)</f>
        <v>0</v>
      </c>
      <c r="BB31" s="61"/>
      <c r="BC31" s="87">
        <f>IF($A31=BC$58,BC$53-SUM(BC$11:BC30), 0)</f>
        <v>0</v>
      </c>
      <c r="BD31" s="77">
        <f t="shared" si="141"/>
        <v>4.3646000000000004E-2</v>
      </c>
      <c r="BE31" s="87">
        <f>IF($A31&gt;BC$58, 0, SUM(BC31:BC$47)*BD31*BC$63/BC$64+SUM(BC32:BC$47)*(BC$64-BC$63)/BC$64*BD31)</f>
        <v>1309380.0000000002</v>
      </c>
      <c r="BF31" s="61"/>
      <c r="BG31" s="87">
        <f>IF($A31=BG$58,BG$53-SUM(BG$11:BG30), 0)</f>
        <v>0</v>
      </c>
      <c r="BH31" s="77">
        <f t="shared" si="142"/>
        <v>4.4846000000000004E-2</v>
      </c>
      <c r="BI31" s="87">
        <f>IF($A31&gt;BG$58, 0, SUM(BG31:BG$47)*BH31*BG$63/BG$64+SUM(BG32:BG$47)*(BG$64-BG$63)/BG$64*BH31)</f>
        <v>3363450.0000000005</v>
      </c>
      <c r="BJ31" s="61"/>
      <c r="BK31" s="35">
        <f t="shared" si="167"/>
        <v>0</v>
      </c>
      <c r="BL31" s="35">
        <f t="shared" si="168"/>
        <v>4672830.0000000009</v>
      </c>
      <c r="BM31" s="8"/>
      <c r="BN31" s="87">
        <f>IF($A31=BN$58,BN$53-SUM(BN$11:BN30), 0)</f>
        <v>0</v>
      </c>
      <c r="BO31" s="8" t="str">
        <f t="shared" si="143"/>
        <v xml:space="preserve">   </v>
      </c>
      <c r="BP31" s="87">
        <f>IF($A31&gt;BN$58, 0, SUM(BN31:BN$47)*BO31*BN$63/BN$64+SUM(BN32:BN$47)*(BN$64-BN$63)/BN$64*BO31)</f>
        <v>0</v>
      </c>
      <c r="BQ31" s="77"/>
      <c r="BR31" s="87">
        <f>IF($A31=BR$58,BR$53-SUM(BR$11:BR30), 0)</f>
        <v>0</v>
      </c>
      <c r="BS31" s="77">
        <f t="shared" si="144"/>
        <v>3.8800000000000008E-2</v>
      </c>
      <c r="BT31" s="87">
        <f>IF($A31&gt;BR$58, 0, SUM(BR31:BR$47)*BS31*BR$63/BR$64+SUM(BR32:BR$47)*(BR$64-BR$63)/BR$64*BS31)</f>
        <v>2910000.0000000005</v>
      </c>
      <c r="BU31" s="87"/>
      <c r="BV31" s="35">
        <f t="shared" si="169"/>
        <v>0</v>
      </c>
      <c r="BW31" s="35">
        <f t="shared" si="170"/>
        <v>2910000.0000000005</v>
      </c>
      <c r="BX31" s="87"/>
      <c r="BY31" s="87">
        <f>IF($A31='Debt Service'!BY$58, 'Debt Service'!BY$53-SUM(BY$11:BY30), 0)</f>
        <v>0</v>
      </c>
      <c r="BZ31" s="8" t="str">
        <f>IF($A31&gt;'Debt Service'!BY$58, "   ",'Debt Service'!BY$54)</f>
        <v xml:space="preserve">   </v>
      </c>
      <c r="CA31" s="87"/>
      <c r="CB31" s="87"/>
      <c r="CC31" s="87">
        <f>IF($A31='Debt Service'!CC$58, 'Debt Service'!CC$53-SUM(CC$11:CC30), 0)</f>
        <v>0</v>
      </c>
      <c r="CD31" s="77" t="str">
        <f t="shared" si="146"/>
        <v xml:space="preserve">   </v>
      </c>
      <c r="CE31" s="87">
        <f>IF(OR($A31&gt;'Debt Service'!CC$58, $A31&lt;CC$51), 0, SUM(CC31:CC$47)*CD31*CC$63/CC$64+SUM(CC32:CC$47)*(CC$64-CC$63)/CC$64*CD31)</f>
        <v>0</v>
      </c>
      <c r="CF31" s="87"/>
      <c r="CG31" s="87">
        <f>IF($A31=CG$58,CG$53-SUM(CG$11:CG30), 0)</f>
        <v>0</v>
      </c>
      <c r="CH31" s="77">
        <f t="shared" si="147"/>
        <v>3.9000000000000007E-2</v>
      </c>
      <c r="CI31" s="87">
        <f>IF($A31&gt;CG$58, 0, SUM(CG31:CG$47)*CH31*CG$63/CG$64+SUM(CG32:CG$47)*(CG$64-CG$63)/CG$64*CH31)</f>
        <v>2925000.0000000005</v>
      </c>
      <c r="CJ31" s="87"/>
      <c r="CK31" s="87">
        <f>IF($A31=CK$58,CK$53-SUM(CK$11:CK30), 0)</f>
        <v>0</v>
      </c>
      <c r="CL31" s="77">
        <f t="shared" si="148"/>
        <v>4.0410000000000001E-2</v>
      </c>
      <c r="CM31" s="87">
        <f>IF($A31&gt;CK$58, 0, SUM(CK31:CK$47)*CL31*CK$63/CK$64+SUM(CK32:CK$47)*(CK$64-CK$63)/CK$64*CL31)</f>
        <v>3030750</v>
      </c>
      <c r="CN31" s="87"/>
      <c r="CO31" s="162">
        <f t="shared" si="149"/>
        <v>0</v>
      </c>
      <c r="CP31" s="87">
        <f t="shared" si="150"/>
        <v>5955750</v>
      </c>
      <c r="CQ31" s="87"/>
      <c r="CR31" s="87">
        <f>IF($A31='Debt Service'!CR$58, 'Debt Service'!CR$53-SUM(CR$11:CR30), 0)</f>
        <v>0</v>
      </c>
      <c r="CS31" s="77" t="str">
        <f t="shared" si="151"/>
        <v xml:space="preserve">   </v>
      </c>
      <c r="CT31" s="87">
        <f>IF($A31&gt;'Debt Service'!CR$58, 0, SUM(CR31:CR$47)*CS31*CR$63/CR$64+SUM(CR32:CR$47)*(CR$64-CR$63)/CR$64*CS31)</f>
        <v>0</v>
      </c>
      <c r="CU31" s="87"/>
      <c r="CV31" s="87">
        <f>IF($A31=CV$58,CV$53-SUM(CV$11:CV30), 0)</f>
        <v>0</v>
      </c>
      <c r="CW31" s="77">
        <f t="shared" si="152"/>
        <v>3.8800000000000008E-2</v>
      </c>
      <c r="CX31" s="87">
        <f>IF($A31&gt;CV$58, 0, SUM(CV31:CV$47)*CW31*CV$63/CV$64+SUM(CV32:CV$47)*(CV$64-CV$63)/CV$64*CW31)</f>
        <v>2910000.0000000005</v>
      </c>
      <c r="CY31" s="87"/>
      <c r="CZ31" s="165">
        <f t="shared" si="153"/>
        <v>0</v>
      </c>
      <c r="DA31" s="165">
        <f t="shared" si="154"/>
        <v>2910000.0000000005</v>
      </c>
      <c r="DB31" s="165"/>
      <c r="DC31" s="87">
        <f t="shared" si="155"/>
        <v>0</v>
      </c>
      <c r="DD31" s="77" t="str">
        <f t="shared" si="156"/>
        <v>---</v>
      </c>
      <c r="DE31" s="87">
        <f t="shared" si="174"/>
        <v>0</v>
      </c>
      <c r="DF31" s="165"/>
      <c r="DG31" s="87">
        <f>IF($A31=DG$58,DG$53-SUM(DG$11:DG30), 0)</f>
        <v>0</v>
      </c>
      <c r="DH31" s="77" t="str">
        <f t="shared" si="158"/>
        <v xml:space="preserve">   </v>
      </c>
      <c r="DI31" s="87">
        <f>IF(OR($A31&gt;DG$58,$A31&lt;DG$51), 0, SUM(DG31:DG$47)*DH31*DG$63/DG$64+SUM(DG32:DG$47)*(DG$64-DG$63)/DG$64*DH31)</f>
        <v>0</v>
      </c>
      <c r="DJ31" s="87"/>
      <c r="DK31" s="87">
        <f>IF($A31=DK$58,DK$53-SUM(DK$11:DK30), 0)</f>
        <v>0</v>
      </c>
      <c r="DL31" s="77" t="str">
        <f t="shared" si="159"/>
        <v xml:space="preserve">   </v>
      </c>
      <c r="DM31" s="87">
        <f>IF(OR($A31&gt;DK$58,$A31&lt;DK$51), 0, SUM(DK31:DK$47)*DL31*DK$63/DK$64+SUM(DK32:DK$47)*(DK$64-DK$63)/DK$64*DL31)</f>
        <v>0</v>
      </c>
      <c r="DN31" s="87"/>
      <c r="DO31" s="87">
        <f>IF($A31=DO$58,DO$53-SUM(DO$11:DO30), 0)</f>
        <v>0</v>
      </c>
      <c r="DP31" s="77" t="str">
        <f t="shared" si="160"/>
        <v xml:space="preserve">   </v>
      </c>
      <c r="DQ31" s="87">
        <f>IF(OR($A31&gt;DO$58,$A31&lt;DO$51), 0, SUM(DO31:DO$47)*DP31*DO$63/DO$64+SUM(DO32:DO$47)*(DO$64-DO$63)/DO$64*DP31)</f>
        <v>0</v>
      </c>
      <c r="DR31" s="165"/>
      <c r="DS31" s="87">
        <f>IF($A31=DS$58,DS$53-SUM(DS$11:DS30), 0)</f>
        <v>0</v>
      </c>
      <c r="DT31" s="77" t="str">
        <f t="shared" si="161"/>
        <v xml:space="preserve">   </v>
      </c>
      <c r="DU31" s="87">
        <f>IF(OR($A31&gt;DS$58,$A31&lt;DS$51), 0, SUM(DS31:DS$47)*DT31*DS$63/DS$64+SUM(DS32:DS$47)*(DS$64-DS$63)/DS$64*DT31)</f>
        <v>0</v>
      </c>
      <c r="DV31" s="165"/>
      <c r="DW31" s="165">
        <f t="shared" si="171"/>
        <v>0</v>
      </c>
      <c r="DX31" s="165">
        <f t="shared" si="172"/>
        <v>16448580.000000002</v>
      </c>
      <c r="DY31" s="87"/>
      <c r="DZ31" s="53">
        <f t="shared" si="162"/>
        <v>2044</v>
      </c>
      <c r="EA31" s="35">
        <f t="shared" si="163"/>
        <v>0</v>
      </c>
      <c r="EB31" s="35">
        <f t="shared" si="164"/>
        <v>16448580.000000002</v>
      </c>
      <c r="EC31" s="35">
        <f t="shared" si="175"/>
        <v>16448580.000000002</v>
      </c>
      <c r="ED31" s="171">
        <f t="shared" si="173"/>
        <v>21</v>
      </c>
      <c r="EE31" s="61">
        <f>EA$53-SUM(EA$10:EA31)</f>
        <v>405000000</v>
      </c>
    </row>
    <row r="32" spans="1:135" s="33" customFormat="1" outlineLevel="1">
      <c r="A32" s="7">
        <f t="shared" si="166"/>
        <v>2045</v>
      </c>
      <c r="B32" s="151">
        <f>Assumptions!B29</f>
        <v>5.3800000000000001E-2</v>
      </c>
      <c r="C32" s="151">
        <f>Assumptions!C29</f>
        <v>5.3800000000000001E-2</v>
      </c>
      <c r="D32" s="151">
        <f>Assumptions!D29</f>
        <v>3.5000000000000003E-2</v>
      </c>
      <c r="E32" s="151">
        <f>Assumptions!E29</f>
        <v>5.2999999999999999E-2</v>
      </c>
      <c r="F32" s="151">
        <f>Assumptions!F29</f>
        <v>0</v>
      </c>
      <c r="G32" s="151">
        <f>Assumptions!G29</f>
        <v>3.0000000000000001E-3</v>
      </c>
      <c r="H32" s="151">
        <f>Assumptions!H29</f>
        <v>8.0000000000000004E-4</v>
      </c>
      <c r="I32" s="151"/>
      <c r="J32" s="151"/>
      <c r="K32" s="151"/>
      <c r="L32" s="8"/>
      <c r="M32" s="87">
        <f>IF($A32=M$58,M$53-SUM(M$11:M31), 0)</f>
        <v>0</v>
      </c>
      <c r="N32" s="8" t="str">
        <f t="shared" si="128"/>
        <v xml:space="preserve">   </v>
      </c>
      <c r="O32" s="87">
        <f>IF($A32&gt;M$58, 0, SUM(M32:M$47)*N32*M$63/M$64+SUM(M33:M$47)*(M$64-M$63)/M$64*N32)</f>
        <v>0</v>
      </c>
      <c r="P32" s="35"/>
      <c r="Q32" s="87">
        <f>IF($A32=Q$58,Q$53-SUM(Q$11:Q31), 0)</f>
        <v>0</v>
      </c>
      <c r="R32" s="8" t="str">
        <f t="shared" si="129"/>
        <v xml:space="preserve">   </v>
      </c>
      <c r="S32" s="87">
        <f>IF($A32&gt;Q$58, 0, SUM(Q32:Q$47)*R32*Q$63/Q$64+SUM(Q33:Q$47)*(Q$64-Q$63)/Q$64*R32)</f>
        <v>0</v>
      </c>
      <c r="T32" s="35"/>
      <c r="U32" s="35">
        <f t="shared" si="130"/>
        <v>0</v>
      </c>
      <c r="V32" s="35">
        <f t="shared" si="131"/>
        <v>0</v>
      </c>
      <c r="W32" s="35"/>
      <c r="X32" s="87">
        <f>IF($A32=X$58,X$53-SUM(X$11:X31), 0)</f>
        <v>0</v>
      </c>
      <c r="Y32" s="8" t="str">
        <f t="shared" si="132"/>
        <v xml:space="preserve">   </v>
      </c>
      <c r="Z32" s="87">
        <f>IF($A32&gt;X$58, 0, SUM(X32:X$47)*Y32*X$63/X$64+SUM(X33:X$47)*(X$64-X$63)/X$64*Y32)</f>
        <v>0</v>
      </c>
      <c r="AA32" s="87"/>
      <c r="AB32" s="87">
        <f>IF($A32=AB$58,AB$53-SUM(AB$11:AB31), 0)</f>
        <v>0</v>
      </c>
      <c r="AC32" s="8" t="str">
        <f t="shared" si="133"/>
        <v xml:space="preserve">   </v>
      </c>
      <c r="AD32" s="87">
        <f>IF($A32&gt;AB$58, 0, SUM(AB32:AB$47)*AC32*AB$63/AB$64+SUM(AB33:AB$47)*(AB$64-AB$63)/AB$64*AC32)</f>
        <v>0</v>
      </c>
      <c r="AE32" s="35"/>
      <c r="AF32" s="87">
        <f>IF($A32=AF$58,AF$53-SUM(AF$11:AF31), 0)</f>
        <v>0</v>
      </c>
      <c r="AG32" s="8" t="str">
        <f t="shared" si="134"/>
        <v xml:space="preserve">   </v>
      </c>
      <c r="AH32" s="87">
        <f>IF($A32&gt;AF$58, 0, SUM(AF32:AF$47)*AG32*AF$63/AF$64+SUM(AF33:AF$47)*(AF$64-AF$63)/AF$64*AG32)</f>
        <v>0</v>
      </c>
      <c r="AI32" s="35"/>
      <c r="AJ32" s="87">
        <f>IF($A32=AJ$58,AJ$53-SUM(AJ$11:AJ31), 0)</f>
        <v>0</v>
      </c>
      <c r="AK32" s="77" t="str">
        <f t="shared" si="135"/>
        <v xml:space="preserve">   </v>
      </c>
      <c r="AL32" s="87">
        <f>IF($A32&gt;AJ$58, 0, SUM(AJ32:AJ$47)*AK32*AJ$63/AJ$64+SUM(AJ33:AJ$47)*(AJ$64-AJ$63)/AJ$64*AK32)</f>
        <v>0</v>
      </c>
      <c r="AM32" s="35"/>
      <c r="AN32" s="87">
        <f>IF($A32='Debt Service'!AN$58, 'Debt Service'!AN$53-SUM(AN$11:AN31), 0)</f>
        <v>0</v>
      </c>
      <c r="AO32" s="77" t="str">
        <f t="shared" si="136"/>
        <v xml:space="preserve">   </v>
      </c>
      <c r="AP32" s="87">
        <f>IF($A32&gt;'Debt Service'!AN$58, 0, SUM(AN32:AN$47)*AO32*AN$63/AN$64+SUM(AN33:AN$47)*(AN$64-AN$63)/AN$64*AO32)</f>
        <v>0</v>
      </c>
      <c r="AQ32" s="35"/>
      <c r="AR32" s="87">
        <f>IF($A32=AR$58,AR$53-SUM(AR$11:AR31), 0)</f>
        <v>0</v>
      </c>
      <c r="AS32" s="77" t="str">
        <f t="shared" si="137"/>
        <v xml:space="preserve">   </v>
      </c>
      <c r="AT32" s="87">
        <f>IF($A32&gt;AR$58, 0, SUM(AR32:AR$47)*AS32*AR$63/AR$64+SUM(AR33:AR$47)*(AR$64-AR$63)/AR$64*AS32)</f>
        <v>0</v>
      </c>
      <c r="AV32" s="35">
        <f t="shared" si="138"/>
        <v>0</v>
      </c>
      <c r="AW32" s="35">
        <f t="shared" si="139"/>
        <v>0</v>
      </c>
      <c r="AX32" s="35"/>
      <c r="AY32" s="87">
        <f>IF($A32=AY$58,AY$53-SUM(AY$11:AY31), 0)</f>
        <v>0</v>
      </c>
      <c r="AZ32" s="8" t="str">
        <f t="shared" si="140"/>
        <v xml:space="preserve">   </v>
      </c>
      <c r="BA32" s="87">
        <f>IF($A32&gt;AY$58, 0, SUM(AY32:AY$47)*AZ32*AY$63/AY$64+SUM(AY33:AY$47)*(AY$64-AY$63)/AY$64*AZ32)</f>
        <v>0</v>
      </c>
      <c r="BB32" s="61"/>
      <c r="BC32" s="87">
        <f>IF($A32=BC$58,BC$53-SUM(BC$11:BC31), 0)</f>
        <v>0</v>
      </c>
      <c r="BD32" s="77">
        <f t="shared" si="141"/>
        <v>4.3646000000000004E-2</v>
      </c>
      <c r="BE32" s="87">
        <f>IF($A32&gt;BC$58, 0, SUM(BC32:BC$47)*BD32*BC$63/BC$64+SUM(BC33:BC$47)*(BC$64-BC$63)/BC$64*BD32)</f>
        <v>1309380.0000000002</v>
      </c>
      <c r="BF32" s="61"/>
      <c r="BG32" s="87">
        <f>IF($A32=BG$58,BG$53-SUM(BG$11:BG31), 0)</f>
        <v>0</v>
      </c>
      <c r="BH32" s="77">
        <f t="shared" si="142"/>
        <v>4.4846000000000004E-2</v>
      </c>
      <c r="BI32" s="87">
        <f>IF($A32&gt;BG$58, 0, SUM(BG32:BG$47)*BH32*BG$63/BG$64+SUM(BG33:BG$47)*(BG$64-BG$63)/BG$64*BH32)</f>
        <v>3363450.0000000005</v>
      </c>
      <c r="BJ32" s="61"/>
      <c r="BK32" s="35">
        <f t="shared" si="167"/>
        <v>0</v>
      </c>
      <c r="BL32" s="35">
        <f t="shared" si="168"/>
        <v>4672830.0000000009</v>
      </c>
      <c r="BM32" s="8"/>
      <c r="BN32" s="87">
        <f>IF($A32=BN$58,BN$53-SUM(BN$11:BN31), 0)</f>
        <v>0</v>
      </c>
      <c r="BO32" s="8" t="str">
        <f t="shared" si="143"/>
        <v xml:space="preserve">   </v>
      </c>
      <c r="BP32" s="87">
        <f>IF($A32&gt;BN$58, 0, SUM(BN32:BN$47)*BO32*BN$63/BN$64+SUM(BN33:BN$47)*(BN$64-BN$63)/BN$64*BO32)</f>
        <v>0</v>
      </c>
      <c r="BQ32" s="77"/>
      <c r="BR32" s="87">
        <f>IF($A32=BR$58,BR$53-SUM(BR$11:BR31), 0)</f>
        <v>0</v>
      </c>
      <c r="BS32" s="77">
        <f t="shared" si="144"/>
        <v>3.8800000000000008E-2</v>
      </c>
      <c r="BT32" s="87">
        <f>IF($A32&gt;BR$58, 0, SUM(BR32:BR$47)*BS32*BR$63/BR$64+SUM(BR33:BR$47)*(BR$64-BR$63)/BR$64*BS32)</f>
        <v>2910000.0000000005</v>
      </c>
      <c r="BU32" s="87"/>
      <c r="BV32" s="35">
        <f t="shared" si="169"/>
        <v>0</v>
      </c>
      <c r="BW32" s="35">
        <f t="shared" si="170"/>
        <v>2910000.0000000005</v>
      </c>
      <c r="BX32" s="87"/>
      <c r="BY32" s="87">
        <f>IF($A32='Debt Service'!BY$58, 'Debt Service'!BY$53-SUM(BY$11:BY31), 0)</f>
        <v>0</v>
      </c>
      <c r="BZ32" s="8" t="str">
        <f>IF($A32&gt;'Debt Service'!BY$58, "   ",'Debt Service'!BY$54)</f>
        <v xml:space="preserve">   </v>
      </c>
      <c r="CA32" s="87"/>
      <c r="CB32" s="87"/>
      <c r="CC32" s="87">
        <f>IF($A32='Debt Service'!CC$58, 'Debt Service'!CC$53-SUM(CC$11:CC31), 0)</f>
        <v>0</v>
      </c>
      <c r="CD32" s="77" t="str">
        <f t="shared" si="146"/>
        <v xml:space="preserve">   </v>
      </c>
      <c r="CE32" s="87">
        <f>IF(OR($A32&gt;'Debt Service'!CC$58, $A32&lt;CC$51), 0, SUM(CC32:CC$47)*CD32*CC$63/CC$64+SUM(CC33:CC$47)*(CC$64-CC$63)/CC$64*CD32)</f>
        <v>0</v>
      </c>
      <c r="CF32" s="87"/>
      <c r="CG32" s="87">
        <f>IF($A32=CG$58,CG$53-SUM(CG$11:CG31), 0)</f>
        <v>0</v>
      </c>
      <c r="CH32" s="77">
        <f t="shared" si="147"/>
        <v>3.9000000000000007E-2</v>
      </c>
      <c r="CI32" s="87">
        <f>IF($A32&gt;CG$58, 0, SUM(CG32:CG$47)*CH32*CG$63/CG$64+SUM(CG33:CG$47)*(CG$64-CG$63)/CG$64*CH32)</f>
        <v>2925000.0000000005</v>
      </c>
      <c r="CJ32" s="87"/>
      <c r="CK32" s="87">
        <f>IF($A32=CK$58,CK$53-SUM(CK$11:CK31), 0)</f>
        <v>0</v>
      </c>
      <c r="CL32" s="77">
        <f t="shared" si="148"/>
        <v>4.0410000000000001E-2</v>
      </c>
      <c r="CM32" s="87">
        <f>IF($A32&gt;CK$58, 0, SUM(CK32:CK$47)*CL32*CK$63/CK$64+SUM(CK33:CK$47)*(CK$64-CK$63)/CK$64*CL32)</f>
        <v>3030750</v>
      </c>
      <c r="CN32" s="87"/>
      <c r="CO32" s="162">
        <f t="shared" si="149"/>
        <v>0</v>
      </c>
      <c r="CP32" s="87">
        <f t="shared" si="150"/>
        <v>5955750</v>
      </c>
      <c r="CQ32" s="87"/>
      <c r="CR32" s="87">
        <f>IF($A32='Debt Service'!CR$58, 'Debt Service'!CR$53-SUM(CR$11:CR31), 0)</f>
        <v>0</v>
      </c>
      <c r="CS32" s="77" t="str">
        <f t="shared" si="151"/>
        <v xml:space="preserve">   </v>
      </c>
      <c r="CT32" s="87">
        <f>IF($A32&gt;'Debt Service'!CR$58, 0, SUM(CR32:CR$47)*CS32*CR$63/CR$64+SUM(CR33:CR$47)*(CR$64-CR$63)/CR$64*CS32)</f>
        <v>0</v>
      </c>
      <c r="CU32" s="87"/>
      <c r="CV32" s="87">
        <f>IF($A32=CV$58,CV$53-SUM(CV$11:CV31), 0)</f>
        <v>0</v>
      </c>
      <c r="CW32" s="77">
        <f t="shared" si="152"/>
        <v>3.8800000000000008E-2</v>
      </c>
      <c r="CX32" s="87">
        <f>IF($A32&gt;CV$58, 0, SUM(CV32:CV$47)*CW32*CV$63/CV$64+SUM(CV33:CV$47)*(CV$64-CV$63)/CV$64*CW32)</f>
        <v>2910000.0000000005</v>
      </c>
      <c r="CY32" s="87"/>
      <c r="CZ32" s="165">
        <f t="shared" si="153"/>
        <v>0</v>
      </c>
      <c r="DA32" s="165">
        <f t="shared" si="154"/>
        <v>2910000.0000000005</v>
      </c>
      <c r="DB32" s="165"/>
      <c r="DC32" s="87">
        <f t="shared" si="155"/>
        <v>0</v>
      </c>
      <c r="DD32" s="77" t="str">
        <f t="shared" si="156"/>
        <v>---</v>
      </c>
      <c r="DE32" s="87">
        <f t="shared" si="174"/>
        <v>0</v>
      </c>
      <c r="DF32" s="165"/>
      <c r="DG32" s="87">
        <f>IF($A32=DG$58,DG$53-SUM(DG$11:DG31), 0)</f>
        <v>0</v>
      </c>
      <c r="DH32" s="77" t="str">
        <f t="shared" si="158"/>
        <v xml:space="preserve">   </v>
      </c>
      <c r="DI32" s="87">
        <f>IF(OR($A32&gt;DG$58,$A32&lt;DG$51), 0, SUM(DG32:DG$47)*DH32*DG$63/DG$64+SUM(DG33:DG$47)*(DG$64-DG$63)/DG$64*DH32)</f>
        <v>0</v>
      </c>
      <c r="DJ32" s="87"/>
      <c r="DK32" s="87">
        <f>IF($A32=DK$58,DK$53-SUM(DK$11:DK31), 0)</f>
        <v>0</v>
      </c>
      <c r="DL32" s="77" t="str">
        <f t="shared" si="159"/>
        <v xml:space="preserve">   </v>
      </c>
      <c r="DM32" s="87">
        <f>IF(OR($A32&gt;DK$58,$A32&lt;DK$51), 0, SUM(DK32:DK$47)*DL32*DK$63/DK$64+SUM(DK33:DK$47)*(DK$64-DK$63)/DK$64*DL32)</f>
        <v>0</v>
      </c>
      <c r="DN32" s="87"/>
      <c r="DO32" s="87">
        <f>IF($A32=DO$58,DO$53-SUM(DO$11:DO31), 0)</f>
        <v>0</v>
      </c>
      <c r="DP32" s="77" t="str">
        <f t="shared" si="160"/>
        <v xml:space="preserve">   </v>
      </c>
      <c r="DQ32" s="87">
        <f>IF(OR($A32&gt;DO$58,$A32&lt;DO$51), 0, SUM(DO32:DO$47)*DP32*DO$63/DO$64+SUM(DO33:DO$47)*(DO$64-DO$63)/DO$64*DP32)</f>
        <v>0</v>
      </c>
      <c r="DR32" s="165"/>
      <c r="DS32" s="87">
        <f>IF($A32=DS$58,DS$53-SUM(DS$11:DS31), 0)</f>
        <v>0</v>
      </c>
      <c r="DT32" s="77" t="str">
        <f t="shared" si="161"/>
        <v xml:space="preserve">   </v>
      </c>
      <c r="DU32" s="87">
        <f>IF(OR($A32&gt;DS$58,$A32&lt;DS$51), 0, SUM(DS32:DS$47)*DT32*DS$63/DS$64+SUM(DS33:DS$47)*(DS$64-DS$63)/DS$64*DT32)</f>
        <v>0</v>
      </c>
      <c r="DV32" s="165"/>
      <c r="DW32" s="165">
        <f t="shared" si="171"/>
        <v>0</v>
      </c>
      <c r="DX32" s="165">
        <f t="shared" si="172"/>
        <v>16448580.000000002</v>
      </c>
      <c r="DY32" s="87"/>
      <c r="DZ32" s="53">
        <f t="shared" si="162"/>
        <v>2045</v>
      </c>
      <c r="EA32" s="35">
        <f t="shared" si="163"/>
        <v>0</v>
      </c>
      <c r="EB32" s="35">
        <f t="shared" si="164"/>
        <v>16448580.000000002</v>
      </c>
      <c r="EC32" s="35">
        <f t="shared" si="175"/>
        <v>16448580.000000002</v>
      </c>
      <c r="ED32" s="171">
        <f t="shared" si="173"/>
        <v>22</v>
      </c>
      <c r="EE32" s="61">
        <f>EA$53-SUM(EA$10:EA32)</f>
        <v>405000000</v>
      </c>
    </row>
    <row r="33" spans="1:135" s="33" customFormat="1" outlineLevel="1">
      <c r="A33" s="7">
        <f t="shared" si="166"/>
        <v>2046</v>
      </c>
      <c r="B33" s="151">
        <f>Assumptions!B30</f>
        <v>5.3800000000000001E-2</v>
      </c>
      <c r="C33" s="151">
        <f>Assumptions!C30</f>
        <v>5.3800000000000001E-2</v>
      </c>
      <c r="D33" s="151">
        <f>Assumptions!D30</f>
        <v>3.5000000000000003E-2</v>
      </c>
      <c r="E33" s="151">
        <f>Assumptions!E30</f>
        <v>5.2999999999999999E-2</v>
      </c>
      <c r="F33" s="151">
        <f>Assumptions!F30</f>
        <v>0</v>
      </c>
      <c r="G33" s="151">
        <f>Assumptions!G30</f>
        <v>3.0000000000000001E-3</v>
      </c>
      <c r="H33" s="151">
        <f>Assumptions!H30</f>
        <v>8.0000000000000004E-4</v>
      </c>
      <c r="I33" s="151"/>
      <c r="J33" s="151"/>
      <c r="K33" s="151"/>
      <c r="L33" s="8"/>
      <c r="M33" s="87">
        <f>IF($A33=M$58,M$53-SUM(M$11:M32), 0)</f>
        <v>0</v>
      </c>
      <c r="N33" s="8" t="str">
        <f t="shared" si="128"/>
        <v xml:space="preserve">   </v>
      </c>
      <c r="O33" s="87">
        <f>IF($A33&gt;M$58, 0, SUM(M33:M$47)*N33*M$63/M$64+SUM(M34:M$47)*(M$64-M$63)/M$64*N33)</f>
        <v>0</v>
      </c>
      <c r="P33" s="35"/>
      <c r="Q33" s="87">
        <f>IF($A33=Q$58,Q$53-SUM(Q$11:Q32), 0)</f>
        <v>0</v>
      </c>
      <c r="R33" s="8" t="str">
        <f t="shared" si="129"/>
        <v xml:space="preserve">   </v>
      </c>
      <c r="S33" s="87">
        <f>IF($A33&gt;Q$58, 0, SUM(Q33:Q$47)*R33*Q$63/Q$64+SUM(Q34:Q$47)*(Q$64-Q$63)/Q$64*R33)</f>
        <v>0</v>
      </c>
      <c r="T33" s="35"/>
      <c r="U33" s="35">
        <f t="shared" si="130"/>
        <v>0</v>
      </c>
      <c r="V33" s="35">
        <f t="shared" si="131"/>
        <v>0</v>
      </c>
      <c r="W33" s="35"/>
      <c r="X33" s="87">
        <f>IF($A33=X$58,X$53-SUM(X$11:X32), 0)</f>
        <v>0</v>
      </c>
      <c r="Y33" s="8" t="str">
        <f t="shared" si="132"/>
        <v xml:space="preserve">   </v>
      </c>
      <c r="Z33" s="87">
        <f>IF($A33&gt;X$58, 0, SUM(X33:X$47)*Y33*X$63/X$64+SUM(X34:X$47)*(X$64-X$63)/X$64*Y33)</f>
        <v>0</v>
      </c>
      <c r="AA33" s="87"/>
      <c r="AB33" s="87">
        <f>IF($A33=AB$58,AB$53-SUM(AB$11:AB32), 0)</f>
        <v>0</v>
      </c>
      <c r="AC33" s="8" t="str">
        <f t="shared" si="133"/>
        <v xml:space="preserve">   </v>
      </c>
      <c r="AD33" s="87">
        <f>IF($A33&gt;AB$58, 0, SUM(AB33:AB$47)*AC33*AB$63/AB$64+SUM(AB34:AB$47)*(AB$64-AB$63)/AB$64*AC33)</f>
        <v>0</v>
      </c>
      <c r="AE33" s="35"/>
      <c r="AF33" s="87">
        <f>IF($A33=AF$58,AF$53-SUM(AF$11:AF32), 0)</f>
        <v>0</v>
      </c>
      <c r="AG33" s="8" t="str">
        <f t="shared" si="134"/>
        <v xml:space="preserve">   </v>
      </c>
      <c r="AH33" s="87">
        <f>IF($A33&gt;AF$58, 0, SUM(AF33:AF$47)*AG33*AF$63/AF$64+SUM(AF34:AF$47)*(AF$64-AF$63)/AF$64*AG33)</f>
        <v>0</v>
      </c>
      <c r="AI33" s="35"/>
      <c r="AJ33" s="87">
        <f>IF($A33=AJ$58,AJ$53-SUM(AJ$11:AJ32), 0)</f>
        <v>0</v>
      </c>
      <c r="AK33" s="77" t="str">
        <f t="shared" si="135"/>
        <v xml:space="preserve">   </v>
      </c>
      <c r="AL33" s="87">
        <f>IF($A33&gt;AJ$58, 0, SUM(AJ33:AJ$47)*AK33*AJ$63/AJ$64+SUM(AJ34:AJ$47)*(AJ$64-AJ$63)/AJ$64*AK33)</f>
        <v>0</v>
      </c>
      <c r="AM33" s="35"/>
      <c r="AN33" s="87">
        <f>IF($A33='Debt Service'!AN$58, 'Debt Service'!AN$53-SUM(AN$11:AN32), 0)</f>
        <v>0</v>
      </c>
      <c r="AO33" s="77" t="str">
        <f t="shared" si="136"/>
        <v xml:space="preserve">   </v>
      </c>
      <c r="AP33" s="87">
        <f>IF($A33&gt;'Debt Service'!AN$58, 0, SUM(AN33:AN$47)*AO33*AN$63/AN$64+SUM(AN34:AN$47)*(AN$64-AN$63)/AN$64*AO33)</f>
        <v>0</v>
      </c>
      <c r="AQ33" s="35"/>
      <c r="AR33" s="87">
        <f>IF($A33=AR$58,AR$53-SUM(AR$11:AR32), 0)</f>
        <v>0</v>
      </c>
      <c r="AS33" s="77" t="str">
        <f t="shared" si="137"/>
        <v xml:space="preserve">   </v>
      </c>
      <c r="AT33" s="87">
        <f>IF($A33&gt;AR$58, 0, SUM(AR33:AR$47)*AS33*AR$63/AR$64+SUM(AR34:AR$47)*(AR$64-AR$63)/AR$64*AS33)</f>
        <v>0</v>
      </c>
      <c r="AV33" s="35">
        <f t="shared" si="138"/>
        <v>0</v>
      </c>
      <c r="AW33" s="35">
        <f t="shared" si="139"/>
        <v>0</v>
      </c>
      <c r="AX33" s="35"/>
      <c r="AY33" s="87">
        <f>IF($A33=AY$58,AY$53-SUM(AY$11:AY32), 0)</f>
        <v>0</v>
      </c>
      <c r="AZ33" s="8" t="str">
        <f t="shared" si="140"/>
        <v xml:space="preserve">   </v>
      </c>
      <c r="BA33" s="87">
        <f>IF($A33&gt;AY$58, 0, SUM(AY33:AY$47)*AZ33*AY$63/AY$64+SUM(AY34:AY$47)*(AY$64-AY$63)/AY$64*AZ33)</f>
        <v>0</v>
      </c>
      <c r="BB33" s="61"/>
      <c r="BC33" s="87">
        <f>IF($A33=BC$58,BC$53-SUM(BC$11:BC32), 0)</f>
        <v>0</v>
      </c>
      <c r="BD33" s="77">
        <f t="shared" si="141"/>
        <v>4.3646000000000004E-2</v>
      </c>
      <c r="BE33" s="87">
        <f>IF($A33&gt;BC$58, 0, SUM(BC33:BC$47)*BD33*BC$63/BC$64+SUM(BC34:BC$47)*(BC$64-BC$63)/BC$64*BD33)</f>
        <v>1309380.0000000002</v>
      </c>
      <c r="BF33" s="61"/>
      <c r="BG33" s="87">
        <f>IF($A33=BG$58,BG$53-SUM(BG$11:BG32), 0)</f>
        <v>0</v>
      </c>
      <c r="BH33" s="77">
        <f t="shared" si="142"/>
        <v>4.4846000000000004E-2</v>
      </c>
      <c r="BI33" s="87">
        <f>IF($A33&gt;BG$58, 0, SUM(BG33:BG$47)*BH33*BG$63/BG$64+SUM(BG34:BG$47)*(BG$64-BG$63)/BG$64*BH33)</f>
        <v>3363450.0000000005</v>
      </c>
      <c r="BJ33" s="61"/>
      <c r="BK33" s="35">
        <f t="shared" si="167"/>
        <v>0</v>
      </c>
      <c r="BL33" s="35">
        <f t="shared" si="168"/>
        <v>4672830.0000000009</v>
      </c>
      <c r="BM33" s="8"/>
      <c r="BN33" s="87">
        <f>IF($A33=BN$58,BN$53-SUM(BN$11:BN32), 0)</f>
        <v>0</v>
      </c>
      <c r="BO33" s="8" t="str">
        <f t="shared" si="143"/>
        <v xml:space="preserve">   </v>
      </c>
      <c r="BP33" s="87">
        <f>IF($A33&gt;BN$58, 0, SUM(BN33:BN$47)*BO33*BN$63/BN$64+SUM(BN34:BN$47)*(BN$64-BN$63)/BN$64*BO33)</f>
        <v>0</v>
      </c>
      <c r="BQ33" s="77"/>
      <c r="BR33" s="87">
        <f>IF($A33=BR$58,BR$53-SUM(BR$11:BR32), 0)</f>
        <v>0</v>
      </c>
      <c r="BS33" s="77">
        <f t="shared" si="144"/>
        <v>3.8800000000000008E-2</v>
      </c>
      <c r="BT33" s="87">
        <f>IF($A33&gt;BR$58, 0, SUM(BR33:BR$47)*BS33*BR$63/BR$64+SUM(BR34:BR$47)*(BR$64-BR$63)/BR$64*BS33)</f>
        <v>2910000.0000000005</v>
      </c>
      <c r="BU33" s="87"/>
      <c r="BV33" s="35">
        <f t="shared" si="169"/>
        <v>0</v>
      </c>
      <c r="BW33" s="35">
        <f t="shared" si="170"/>
        <v>2910000.0000000005</v>
      </c>
      <c r="BX33" s="87"/>
      <c r="BY33" s="87">
        <f>IF($A33='Debt Service'!BY$58, 'Debt Service'!BY$53-SUM(BY$11:BY32), 0)</f>
        <v>0</v>
      </c>
      <c r="BZ33" s="8" t="str">
        <f>IF($A33&gt;'Debt Service'!BY$58, "   ",'Debt Service'!BY$54)</f>
        <v xml:space="preserve">   </v>
      </c>
      <c r="CA33" s="87"/>
      <c r="CB33" s="87"/>
      <c r="CC33" s="87">
        <f>IF($A33='Debt Service'!CC$58, 'Debt Service'!CC$53-SUM(CC$11:CC32), 0)</f>
        <v>0</v>
      </c>
      <c r="CD33" s="77" t="str">
        <f t="shared" si="146"/>
        <v xml:space="preserve">   </v>
      </c>
      <c r="CE33" s="87">
        <f>IF(OR($A33&gt;'Debt Service'!CC$58, $A33&lt;CC$51), 0, SUM(CC33:CC$47)*CD33*CC$63/CC$64+SUM(CC34:CC$47)*(CC$64-CC$63)/CC$64*CD33)</f>
        <v>0</v>
      </c>
      <c r="CF33" s="87"/>
      <c r="CG33" s="87">
        <f>IF($A33=CG$58,CG$53-SUM(CG$11:CG32), 0)</f>
        <v>0</v>
      </c>
      <c r="CH33" s="77">
        <f t="shared" si="147"/>
        <v>3.9000000000000007E-2</v>
      </c>
      <c r="CI33" s="87">
        <f>IF($A33&gt;CG$58, 0, SUM(CG33:CG$47)*CH33*CG$63/CG$64+SUM(CG34:CG$47)*(CG$64-CG$63)/CG$64*CH33)</f>
        <v>2925000.0000000005</v>
      </c>
      <c r="CJ33" s="87"/>
      <c r="CK33" s="87">
        <f>IF($A33=CK$58,CK$53-SUM(CK$11:CK32), 0)</f>
        <v>0</v>
      </c>
      <c r="CL33" s="77">
        <f t="shared" si="148"/>
        <v>4.0410000000000001E-2</v>
      </c>
      <c r="CM33" s="87">
        <f>IF($A33&gt;CK$58, 0, SUM(CK33:CK$47)*CL33*CK$63/CK$64+SUM(CK34:CK$47)*(CK$64-CK$63)/CK$64*CL33)</f>
        <v>3030750</v>
      </c>
      <c r="CN33" s="87"/>
      <c r="CO33" s="162">
        <f t="shared" si="149"/>
        <v>0</v>
      </c>
      <c r="CP33" s="87">
        <f t="shared" si="150"/>
        <v>5955750</v>
      </c>
      <c r="CQ33" s="87"/>
      <c r="CR33" s="87">
        <f>IF($A33='Debt Service'!CR$58, 'Debt Service'!CR$53-SUM(CR$11:CR32), 0)</f>
        <v>0</v>
      </c>
      <c r="CS33" s="77" t="str">
        <f t="shared" si="151"/>
        <v xml:space="preserve">   </v>
      </c>
      <c r="CT33" s="87">
        <f>IF($A33&gt;'Debt Service'!CR$58, 0, SUM(CR33:CR$47)*CS33*CR$63/CR$64+SUM(CR34:CR$47)*(CR$64-CR$63)/CR$64*CS33)</f>
        <v>0</v>
      </c>
      <c r="CU33" s="87"/>
      <c r="CV33" s="87">
        <f>IF($A33=CV$58,CV$53-SUM(CV$11:CV32), 0)</f>
        <v>0</v>
      </c>
      <c r="CW33" s="77">
        <f t="shared" si="152"/>
        <v>3.8800000000000008E-2</v>
      </c>
      <c r="CX33" s="87">
        <f>IF($A33&gt;CV$58, 0, SUM(CV33:CV$47)*CW33*CV$63/CV$64+SUM(CV34:CV$47)*(CV$64-CV$63)/CV$64*CW33)</f>
        <v>2910000.0000000005</v>
      </c>
      <c r="CY33" s="87"/>
      <c r="CZ33" s="165">
        <f t="shared" si="153"/>
        <v>0</v>
      </c>
      <c r="DA33" s="165">
        <f t="shared" si="154"/>
        <v>2910000.0000000005</v>
      </c>
      <c r="DB33" s="165"/>
      <c r="DC33" s="87">
        <f t="shared" si="155"/>
        <v>0</v>
      </c>
      <c r="DD33" s="77" t="str">
        <f t="shared" si="156"/>
        <v>---</v>
      </c>
      <c r="DE33" s="87">
        <f t="shared" si="174"/>
        <v>0</v>
      </c>
      <c r="DF33" s="165"/>
      <c r="DG33" s="87">
        <f>IF($A33=DG$58,DG$53-SUM(DG$11:DG32), 0)</f>
        <v>0</v>
      </c>
      <c r="DH33" s="77" t="str">
        <f t="shared" si="158"/>
        <v xml:space="preserve">   </v>
      </c>
      <c r="DI33" s="87">
        <f>IF(OR($A33&gt;DG$58,$A33&lt;DG$51), 0, SUM(DG33:DG$47)*DH33*DG$63/DG$64+SUM(DG34:DG$47)*(DG$64-DG$63)/DG$64*DH33)</f>
        <v>0</v>
      </c>
      <c r="DJ33" s="87"/>
      <c r="DK33" s="87">
        <f>IF($A33=DK$58,DK$53-SUM(DK$11:DK32), 0)</f>
        <v>0</v>
      </c>
      <c r="DL33" s="77" t="str">
        <f t="shared" si="159"/>
        <v xml:space="preserve">   </v>
      </c>
      <c r="DM33" s="87">
        <f>IF(OR($A33&gt;DK$58,$A33&lt;DK$51), 0, SUM(DK33:DK$47)*DL33*DK$63/DK$64+SUM(DK34:DK$47)*(DK$64-DK$63)/DK$64*DL33)</f>
        <v>0</v>
      </c>
      <c r="DN33" s="87"/>
      <c r="DO33" s="87">
        <f>IF($A33=DO$58,DO$53-SUM(DO$11:DO32), 0)</f>
        <v>0</v>
      </c>
      <c r="DP33" s="77" t="str">
        <f t="shared" si="160"/>
        <v xml:space="preserve">   </v>
      </c>
      <c r="DQ33" s="87">
        <f>IF(OR($A33&gt;DO$58,$A33&lt;DO$51), 0, SUM(DO33:DO$47)*DP33*DO$63/DO$64+SUM(DO34:DO$47)*(DO$64-DO$63)/DO$64*DP33)</f>
        <v>0</v>
      </c>
      <c r="DR33" s="165"/>
      <c r="DS33" s="87">
        <f>IF($A33=DS$58,DS$53-SUM(DS$11:DS32), 0)</f>
        <v>0</v>
      </c>
      <c r="DT33" s="77" t="str">
        <f t="shared" si="161"/>
        <v xml:space="preserve">   </v>
      </c>
      <c r="DU33" s="87">
        <f>IF(OR($A33&gt;DS$58,$A33&lt;DS$51), 0, SUM(DS33:DS$47)*DT33*DS$63/DS$64+SUM(DS34:DS$47)*(DS$64-DS$63)/DS$64*DT33)</f>
        <v>0</v>
      </c>
      <c r="DV33" s="165"/>
      <c r="DW33" s="165">
        <f t="shared" si="171"/>
        <v>0</v>
      </c>
      <c r="DX33" s="165">
        <f t="shared" si="172"/>
        <v>16448580.000000002</v>
      </c>
      <c r="DY33" s="87"/>
      <c r="DZ33" s="53">
        <f t="shared" si="162"/>
        <v>2046</v>
      </c>
      <c r="EA33" s="35">
        <f t="shared" si="163"/>
        <v>0</v>
      </c>
      <c r="EB33" s="35">
        <f t="shared" si="164"/>
        <v>16448580.000000002</v>
      </c>
      <c r="EC33" s="35">
        <f t="shared" si="175"/>
        <v>16448580.000000002</v>
      </c>
      <c r="ED33" s="171">
        <f t="shared" si="173"/>
        <v>23</v>
      </c>
      <c r="EE33" s="61">
        <f>EA$53-SUM(EA$10:EA33)</f>
        <v>405000000</v>
      </c>
    </row>
    <row r="34" spans="1:135" s="33" customFormat="1" outlineLevel="1">
      <c r="A34" s="7">
        <f t="shared" si="166"/>
        <v>2047</v>
      </c>
      <c r="B34" s="151">
        <f>Assumptions!B31</f>
        <v>5.3800000000000001E-2</v>
      </c>
      <c r="C34" s="151">
        <f>Assumptions!C31</f>
        <v>5.3800000000000001E-2</v>
      </c>
      <c r="D34" s="151">
        <f>Assumptions!D31</f>
        <v>3.5000000000000003E-2</v>
      </c>
      <c r="E34" s="151">
        <f>Assumptions!E31</f>
        <v>5.2999999999999999E-2</v>
      </c>
      <c r="F34" s="151">
        <f>Assumptions!F31</f>
        <v>0</v>
      </c>
      <c r="G34" s="151">
        <f>Assumptions!G31</f>
        <v>3.0000000000000001E-3</v>
      </c>
      <c r="H34" s="151">
        <f>Assumptions!H31</f>
        <v>8.0000000000000004E-4</v>
      </c>
      <c r="I34" s="151"/>
      <c r="J34" s="151"/>
      <c r="K34" s="151"/>
      <c r="L34" s="8"/>
      <c r="M34" s="87">
        <f>IF($A34=M$58,M$53-SUM(M$11:M33), 0)</f>
        <v>0</v>
      </c>
      <c r="N34" s="8" t="str">
        <f t="shared" si="128"/>
        <v xml:space="preserve">   </v>
      </c>
      <c r="O34" s="87">
        <f>IF($A34&gt;M$58, 0, SUM(M34:M$47)*N34*M$63/M$64+SUM(M35:M$47)*(M$64-M$63)/M$64*N34)</f>
        <v>0</v>
      </c>
      <c r="P34" s="35"/>
      <c r="Q34" s="87">
        <f>IF($A34=Q$58,Q$53-SUM(Q$11:Q33), 0)</f>
        <v>0</v>
      </c>
      <c r="R34" s="8" t="str">
        <f t="shared" si="129"/>
        <v xml:space="preserve">   </v>
      </c>
      <c r="S34" s="87">
        <f>IF($A34&gt;Q$58, 0, SUM(Q34:Q$47)*R34*Q$63/Q$64+SUM(Q35:Q$47)*(Q$64-Q$63)/Q$64*R34)</f>
        <v>0</v>
      </c>
      <c r="T34" s="35"/>
      <c r="U34" s="35">
        <f t="shared" si="130"/>
        <v>0</v>
      </c>
      <c r="V34" s="35">
        <f t="shared" si="131"/>
        <v>0</v>
      </c>
      <c r="W34" s="35"/>
      <c r="X34" s="87">
        <f>IF($A34=X$58,X$53-SUM(X$11:X33), 0)</f>
        <v>0</v>
      </c>
      <c r="Y34" s="8" t="str">
        <f t="shared" si="132"/>
        <v xml:space="preserve">   </v>
      </c>
      <c r="Z34" s="87">
        <f>IF($A34&gt;X$58, 0, SUM(X34:X$47)*Y34*X$63/X$64+SUM(X35:X$47)*(X$64-X$63)/X$64*Y34)</f>
        <v>0</v>
      </c>
      <c r="AA34" s="87"/>
      <c r="AB34" s="87">
        <f>IF($A34=AB$58,AB$53-SUM(AB$11:AB33), 0)</f>
        <v>0</v>
      </c>
      <c r="AC34" s="8" t="str">
        <f t="shared" si="133"/>
        <v xml:space="preserve">   </v>
      </c>
      <c r="AD34" s="87">
        <f>IF($A34&gt;AB$58, 0, SUM(AB34:AB$47)*AC34*AB$63/AB$64+SUM(AB35:AB$47)*(AB$64-AB$63)/AB$64*AC34)</f>
        <v>0</v>
      </c>
      <c r="AE34" s="35"/>
      <c r="AF34" s="87">
        <f>IF($A34=AF$58,AF$53-SUM(AF$11:AF33), 0)</f>
        <v>0</v>
      </c>
      <c r="AG34" s="8" t="str">
        <f t="shared" si="134"/>
        <v xml:space="preserve">   </v>
      </c>
      <c r="AH34" s="87">
        <f>IF($A34&gt;AF$58, 0, SUM(AF34:AF$47)*AG34*AF$63/AF$64+SUM(AF35:AF$47)*(AF$64-AF$63)/AF$64*AG34)</f>
        <v>0</v>
      </c>
      <c r="AI34" s="35"/>
      <c r="AJ34" s="87">
        <f>IF($A34=AJ$58,AJ$53-SUM(AJ$11:AJ33), 0)</f>
        <v>0</v>
      </c>
      <c r="AK34" s="77" t="str">
        <f t="shared" si="135"/>
        <v xml:space="preserve">   </v>
      </c>
      <c r="AL34" s="87">
        <f>IF($A34&gt;AJ$58, 0, SUM(AJ34:AJ$47)*AK34*AJ$63/AJ$64+SUM(AJ35:AJ$47)*(AJ$64-AJ$63)/AJ$64*AK34)</f>
        <v>0</v>
      </c>
      <c r="AM34" s="35"/>
      <c r="AN34" s="87">
        <f>IF($A34='Debt Service'!AN$58, 'Debt Service'!AN$53-SUM(AN$11:AN33), 0)</f>
        <v>0</v>
      </c>
      <c r="AO34" s="77" t="str">
        <f t="shared" si="136"/>
        <v xml:space="preserve">   </v>
      </c>
      <c r="AP34" s="87">
        <f>IF($A34&gt;'Debt Service'!AN$58, 0, SUM(AN34:AN$47)*AO34*AN$63/AN$64+SUM(AN35:AN$47)*(AN$64-AN$63)/AN$64*AO34)</f>
        <v>0</v>
      </c>
      <c r="AQ34" s="35"/>
      <c r="AR34" s="87">
        <f>IF($A34=AR$58,AR$53-SUM(AR$11:AR33), 0)</f>
        <v>0</v>
      </c>
      <c r="AS34" s="77" t="str">
        <f t="shared" si="137"/>
        <v xml:space="preserve">   </v>
      </c>
      <c r="AT34" s="87">
        <f>IF($A34&gt;AR$58, 0, SUM(AR34:AR$47)*AS34*AR$63/AR$64+SUM(AR35:AR$47)*(AR$64-AR$63)/AR$64*AS34)</f>
        <v>0</v>
      </c>
      <c r="AV34" s="35">
        <f t="shared" si="138"/>
        <v>0</v>
      </c>
      <c r="AW34" s="35">
        <f t="shared" si="139"/>
        <v>0</v>
      </c>
      <c r="AX34" s="35"/>
      <c r="AY34" s="87">
        <f>IF($A34=AY$58,AY$53-SUM(AY$11:AY33), 0)</f>
        <v>0</v>
      </c>
      <c r="AZ34" s="8" t="str">
        <f t="shared" si="140"/>
        <v xml:space="preserve">   </v>
      </c>
      <c r="BA34" s="87">
        <f>IF($A34&gt;AY$58, 0, SUM(AY34:AY$47)*AZ34*AY$63/AY$64+SUM(AY35:AY$47)*(AY$64-AY$63)/AY$64*AZ34)</f>
        <v>0</v>
      </c>
      <c r="BB34" s="61"/>
      <c r="BC34" s="87">
        <f>IF($A34=BC$58,BC$53-SUM(BC$11:BC33), 0)</f>
        <v>0</v>
      </c>
      <c r="BD34" s="77">
        <f t="shared" si="141"/>
        <v>4.3646000000000004E-2</v>
      </c>
      <c r="BE34" s="87">
        <f>IF($A34&gt;BC$58, 0, SUM(BC34:BC$47)*BD34*BC$63/BC$64+SUM(BC35:BC$47)*(BC$64-BC$63)/BC$64*BD34)</f>
        <v>1309380.0000000002</v>
      </c>
      <c r="BF34" s="61"/>
      <c r="BG34" s="87">
        <f>IF($A34=BG$58,BG$53-SUM(BG$11:BG33), 0)</f>
        <v>0</v>
      </c>
      <c r="BH34" s="77">
        <f t="shared" si="142"/>
        <v>4.4846000000000004E-2</v>
      </c>
      <c r="BI34" s="87">
        <f>IF($A34&gt;BG$58, 0, SUM(BG34:BG$47)*BH34*BG$63/BG$64+SUM(BG35:BG$47)*(BG$64-BG$63)/BG$64*BH34)</f>
        <v>3363450.0000000005</v>
      </c>
      <c r="BJ34" s="61"/>
      <c r="BK34" s="35">
        <f t="shared" si="167"/>
        <v>0</v>
      </c>
      <c r="BL34" s="35">
        <f t="shared" si="168"/>
        <v>4672830.0000000009</v>
      </c>
      <c r="BM34" s="8"/>
      <c r="BN34" s="87">
        <f>IF($A34=BN$58,BN$53-SUM(BN$11:BN33), 0)</f>
        <v>0</v>
      </c>
      <c r="BO34" s="8" t="str">
        <f t="shared" si="143"/>
        <v xml:space="preserve">   </v>
      </c>
      <c r="BP34" s="87">
        <f>IF($A34&gt;BN$58, 0, SUM(BN34:BN$47)*BO34*BN$63/BN$64+SUM(BN35:BN$47)*(BN$64-BN$63)/BN$64*BO34)</f>
        <v>0</v>
      </c>
      <c r="BQ34" s="77"/>
      <c r="BR34" s="87">
        <f>IF($A34=BR$58,BR$53-SUM(BR$11:BR33), 0)</f>
        <v>0</v>
      </c>
      <c r="BS34" s="77">
        <f t="shared" si="144"/>
        <v>3.8800000000000008E-2</v>
      </c>
      <c r="BT34" s="87">
        <f>IF($A34&gt;BR$58, 0, SUM(BR34:BR$47)*BS34*BR$63/BR$64+SUM(BR35:BR$47)*(BR$64-BR$63)/BR$64*BS34)</f>
        <v>2910000.0000000005</v>
      </c>
      <c r="BU34" s="87"/>
      <c r="BV34" s="35">
        <f t="shared" si="169"/>
        <v>0</v>
      </c>
      <c r="BW34" s="35">
        <f t="shared" si="170"/>
        <v>2910000.0000000005</v>
      </c>
      <c r="BX34" s="87"/>
      <c r="BY34" s="87">
        <f>IF($A34='Debt Service'!BY$58, 'Debt Service'!BY$53-SUM(BY$11:BY33), 0)</f>
        <v>0</v>
      </c>
      <c r="BZ34" s="8" t="str">
        <f>IF($A34&gt;'Debt Service'!BY$58, "   ",'Debt Service'!BY$54)</f>
        <v xml:space="preserve">   </v>
      </c>
      <c r="CA34" s="87"/>
      <c r="CB34" s="87"/>
      <c r="CC34" s="87">
        <f>IF($A34='Debt Service'!CC$58, 'Debt Service'!CC$53-SUM(CC$11:CC33), 0)</f>
        <v>0</v>
      </c>
      <c r="CD34" s="77" t="str">
        <f t="shared" si="146"/>
        <v xml:space="preserve">   </v>
      </c>
      <c r="CE34" s="87">
        <f>IF(OR($A34&gt;'Debt Service'!CC$58, $A34&lt;CC$51), 0, SUM(CC34:CC$47)*CD34*CC$63/CC$64+SUM(CC35:CC$47)*(CC$64-CC$63)/CC$64*CD34)</f>
        <v>0</v>
      </c>
      <c r="CF34" s="87"/>
      <c r="CG34" s="87">
        <f>IF($A34=CG$58,CG$53-SUM(CG$11:CG33), 0)</f>
        <v>0</v>
      </c>
      <c r="CH34" s="77">
        <f t="shared" si="147"/>
        <v>3.9000000000000007E-2</v>
      </c>
      <c r="CI34" s="87">
        <f>IF($A34&gt;CG$58, 0, SUM(CG34:CG$47)*CH34*CG$63/CG$64+SUM(CG35:CG$47)*(CG$64-CG$63)/CG$64*CH34)</f>
        <v>2925000.0000000005</v>
      </c>
      <c r="CJ34" s="87"/>
      <c r="CK34" s="87">
        <f>IF($A34=CK$58,CK$53-SUM(CK$11:CK33), 0)</f>
        <v>0</v>
      </c>
      <c r="CL34" s="77">
        <f t="shared" si="148"/>
        <v>4.0410000000000001E-2</v>
      </c>
      <c r="CM34" s="87">
        <f>IF($A34&gt;CK$58, 0, SUM(CK34:CK$47)*CL34*CK$63/CK$64+SUM(CK35:CK$47)*(CK$64-CK$63)/CK$64*CL34)</f>
        <v>3030750</v>
      </c>
      <c r="CN34" s="87"/>
      <c r="CO34" s="162">
        <f t="shared" si="149"/>
        <v>0</v>
      </c>
      <c r="CP34" s="87">
        <f t="shared" si="150"/>
        <v>5955750</v>
      </c>
      <c r="CQ34" s="87"/>
      <c r="CR34" s="87">
        <f>IF($A34='Debt Service'!CR$58, 'Debt Service'!CR$53-SUM(CR$11:CR33), 0)</f>
        <v>0</v>
      </c>
      <c r="CS34" s="77" t="str">
        <f t="shared" si="151"/>
        <v xml:space="preserve">   </v>
      </c>
      <c r="CT34" s="87">
        <f>IF($A34&gt;'Debt Service'!CR$58, 0, SUM(CR34:CR$47)*CS34*CR$63/CR$64+SUM(CR35:CR$47)*(CR$64-CR$63)/CR$64*CS34)</f>
        <v>0</v>
      </c>
      <c r="CU34" s="87"/>
      <c r="CV34" s="87">
        <f>IF($A34=CV$58,CV$53-SUM(CV$11:CV33), 0)</f>
        <v>0</v>
      </c>
      <c r="CW34" s="77">
        <f t="shared" si="152"/>
        <v>3.8800000000000008E-2</v>
      </c>
      <c r="CX34" s="87">
        <f>IF($A34&gt;CV$58, 0, SUM(CV34:CV$47)*CW34*CV$63/CV$64+SUM(CV35:CV$47)*(CV$64-CV$63)/CV$64*CW34)</f>
        <v>2910000.0000000005</v>
      </c>
      <c r="CY34" s="87"/>
      <c r="CZ34" s="165">
        <f t="shared" si="153"/>
        <v>0</v>
      </c>
      <c r="DA34" s="165">
        <f t="shared" si="154"/>
        <v>2910000.0000000005</v>
      </c>
      <c r="DB34" s="165"/>
      <c r="DC34" s="87">
        <f t="shared" si="155"/>
        <v>0</v>
      </c>
      <c r="DD34" s="77" t="str">
        <f t="shared" si="156"/>
        <v>---</v>
      </c>
      <c r="DE34" s="87">
        <f t="shared" si="174"/>
        <v>0</v>
      </c>
      <c r="DF34" s="165"/>
      <c r="DG34" s="87">
        <f>IF($A34=DG$58,DG$53-SUM(DG$11:DG33), 0)</f>
        <v>0</v>
      </c>
      <c r="DH34" s="77" t="str">
        <f t="shared" si="158"/>
        <v xml:space="preserve">   </v>
      </c>
      <c r="DI34" s="87">
        <f>IF(OR($A34&gt;DG$58,$A34&lt;DG$51), 0, SUM(DG34:DG$47)*DH34*DG$63/DG$64+SUM(DG35:DG$47)*(DG$64-DG$63)/DG$64*DH34)</f>
        <v>0</v>
      </c>
      <c r="DJ34" s="87"/>
      <c r="DK34" s="87">
        <f>IF($A34=DK$58,DK$53-SUM(DK$11:DK33), 0)</f>
        <v>0</v>
      </c>
      <c r="DL34" s="77" t="str">
        <f t="shared" si="159"/>
        <v xml:space="preserve">   </v>
      </c>
      <c r="DM34" s="87">
        <f>IF(OR($A34&gt;DK$58,$A34&lt;DK$51), 0, SUM(DK34:DK$47)*DL34*DK$63/DK$64+SUM(DK35:DK$47)*(DK$64-DK$63)/DK$64*DL34)</f>
        <v>0</v>
      </c>
      <c r="DN34" s="87"/>
      <c r="DO34" s="87">
        <f>IF($A34=DO$58,DO$53-SUM(DO$11:DO33), 0)</f>
        <v>0</v>
      </c>
      <c r="DP34" s="77" t="str">
        <f t="shared" si="160"/>
        <v xml:space="preserve">   </v>
      </c>
      <c r="DQ34" s="87">
        <f>IF(OR($A34&gt;DO$58,$A34&lt;DO$51), 0, SUM(DO34:DO$47)*DP34*DO$63/DO$64+SUM(DO35:DO$47)*(DO$64-DO$63)/DO$64*DP34)</f>
        <v>0</v>
      </c>
      <c r="DR34" s="165"/>
      <c r="DS34" s="87">
        <f>IF($A34=DS$58,DS$53-SUM(DS$11:DS33), 0)</f>
        <v>0</v>
      </c>
      <c r="DT34" s="77" t="str">
        <f t="shared" si="161"/>
        <v xml:space="preserve">   </v>
      </c>
      <c r="DU34" s="87">
        <f>IF(OR($A34&gt;DS$58,$A34&lt;DS$51), 0, SUM(DS34:DS$47)*DT34*DS$63/DS$64+SUM(DS35:DS$47)*(DS$64-DS$63)/DS$64*DT34)</f>
        <v>0</v>
      </c>
      <c r="DV34" s="165"/>
      <c r="DW34" s="165">
        <f t="shared" si="171"/>
        <v>0</v>
      </c>
      <c r="DX34" s="165">
        <f t="shared" si="172"/>
        <v>16448580.000000002</v>
      </c>
      <c r="DY34" s="87"/>
      <c r="DZ34" s="53">
        <f t="shared" si="162"/>
        <v>2047</v>
      </c>
      <c r="EA34" s="35">
        <f t="shared" si="163"/>
        <v>0</v>
      </c>
      <c r="EB34" s="35">
        <f t="shared" si="164"/>
        <v>16448580.000000002</v>
      </c>
      <c r="EC34" s="35">
        <f t="shared" si="175"/>
        <v>16448580.000000002</v>
      </c>
      <c r="ED34" s="171">
        <f t="shared" si="173"/>
        <v>24</v>
      </c>
      <c r="EE34" s="61">
        <f>EA$53-SUM(EA$10:EA34)</f>
        <v>405000000</v>
      </c>
    </row>
    <row r="35" spans="1:135" s="33" customFormat="1" outlineLevel="1">
      <c r="A35" s="7">
        <f t="shared" si="166"/>
        <v>2048</v>
      </c>
      <c r="B35" s="151">
        <f>Assumptions!B32</f>
        <v>5.3800000000000001E-2</v>
      </c>
      <c r="C35" s="151">
        <f>Assumptions!C32</f>
        <v>5.3800000000000001E-2</v>
      </c>
      <c r="D35" s="151">
        <f>Assumptions!D32</f>
        <v>3.5000000000000003E-2</v>
      </c>
      <c r="E35" s="151">
        <f>Assumptions!E32</f>
        <v>5.2999999999999999E-2</v>
      </c>
      <c r="F35" s="151">
        <f>Assumptions!F32</f>
        <v>0</v>
      </c>
      <c r="G35" s="151">
        <f>Assumptions!G32</f>
        <v>3.0000000000000001E-3</v>
      </c>
      <c r="H35" s="151">
        <f>Assumptions!H32</f>
        <v>8.0000000000000004E-4</v>
      </c>
      <c r="I35" s="151"/>
      <c r="J35" s="151"/>
      <c r="K35" s="151"/>
      <c r="L35" s="8"/>
      <c r="M35" s="87">
        <f>IF($A35=M$58,M$53-SUM(M$11:M34), 0)</f>
        <v>0</v>
      </c>
      <c r="N35" s="8" t="str">
        <f t="shared" si="128"/>
        <v xml:space="preserve">   </v>
      </c>
      <c r="O35" s="87">
        <f>IF($A35&gt;M$58, 0, SUM(M35:M$47)*N35*M$63/M$64+SUM(M36:M$47)*(M$64-M$63)/M$64*N35)</f>
        <v>0</v>
      </c>
      <c r="P35" s="35"/>
      <c r="Q35" s="87">
        <f>IF($A35=Q$58,Q$53-SUM(Q$11:Q34), 0)</f>
        <v>0</v>
      </c>
      <c r="R35" s="8" t="str">
        <f t="shared" si="129"/>
        <v xml:space="preserve">   </v>
      </c>
      <c r="S35" s="87">
        <f>IF($A35&gt;Q$58, 0, SUM(Q35:Q$47)*R35*Q$63/Q$64+SUM(Q36:Q$47)*(Q$64-Q$63)/Q$64*R35)</f>
        <v>0</v>
      </c>
      <c r="T35" s="35"/>
      <c r="U35" s="35">
        <f t="shared" si="130"/>
        <v>0</v>
      </c>
      <c r="V35" s="35">
        <f t="shared" si="131"/>
        <v>0</v>
      </c>
      <c r="W35" s="35"/>
      <c r="X35" s="87">
        <f>IF($A35=X$58,X$53-SUM(X$11:X34), 0)</f>
        <v>0</v>
      </c>
      <c r="Y35" s="8" t="str">
        <f t="shared" si="132"/>
        <v xml:space="preserve">   </v>
      </c>
      <c r="Z35" s="87">
        <f>IF($A35&gt;X$58, 0, SUM(X35:X$47)*Y35*X$63/X$64+SUM(X36:X$47)*(X$64-X$63)/X$64*Y35)</f>
        <v>0</v>
      </c>
      <c r="AA35" s="87"/>
      <c r="AB35" s="87">
        <f>IF($A35=AB$58,AB$53-SUM(AB$11:AB34), 0)</f>
        <v>0</v>
      </c>
      <c r="AC35" s="8" t="str">
        <f t="shared" si="133"/>
        <v xml:space="preserve">   </v>
      </c>
      <c r="AD35" s="87">
        <f>IF($A35&gt;AB$58, 0, SUM(AB35:AB$47)*AC35*AB$63/AB$64+SUM(AB36:AB$47)*(AB$64-AB$63)/AB$64*AC35)</f>
        <v>0</v>
      </c>
      <c r="AE35" s="35"/>
      <c r="AF35" s="87">
        <f>IF($A35=AF$58,AF$53-SUM(AF$11:AF34), 0)</f>
        <v>0</v>
      </c>
      <c r="AG35" s="8" t="str">
        <f t="shared" si="134"/>
        <v xml:space="preserve">   </v>
      </c>
      <c r="AH35" s="87">
        <f>IF($A35&gt;AF$58, 0, SUM(AF35:AF$47)*AG35*AF$63/AF$64+SUM(AF36:AF$47)*(AF$64-AF$63)/AF$64*AG35)</f>
        <v>0</v>
      </c>
      <c r="AI35" s="35"/>
      <c r="AJ35" s="87">
        <f>IF($A35=AJ$58,AJ$53-SUM(AJ$11:AJ34), 0)</f>
        <v>0</v>
      </c>
      <c r="AK35" s="77" t="str">
        <f t="shared" si="135"/>
        <v xml:space="preserve">   </v>
      </c>
      <c r="AL35" s="87">
        <f>IF($A35&gt;AJ$58, 0, SUM(AJ35:AJ$47)*AK35*AJ$63/AJ$64+SUM(AJ36:AJ$47)*(AJ$64-AJ$63)/AJ$64*AK35)</f>
        <v>0</v>
      </c>
      <c r="AM35" s="35"/>
      <c r="AN35" s="87">
        <f>IF($A35='Debt Service'!AN$58, 'Debt Service'!AN$53-SUM(AN$11:AN34), 0)</f>
        <v>0</v>
      </c>
      <c r="AO35" s="77" t="str">
        <f t="shared" si="136"/>
        <v xml:space="preserve">   </v>
      </c>
      <c r="AP35" s="87">
        <f>IF($A35&gt;'Debt Service'!AN$58, 0, SUM(AN35:AN$47)*AO35*AN$63/AN$64+SUM(AN36:AN$47)*(AN$64-AN$63)/AN$64*AO35)</f>
        <v>0</v>
      </c>
      <c r="AQ35" s="35"/>
      <c r="AR35" s="87">
        <f>IF($A35=AR$58,AR$53-SUM(AR$11:AR34), 0)</f>
        <v>0</v>
      </c>
      <c r="AS35" s="77" t="str">
        <f t="shared" si="137"/>
        <v xml:space="preserve">   </v>
      </c>
      <c r="AT35" s="87">
        <f>IF($A35&gt;AR$58, 0, SUM(AR35:AR$47)*AS35*AR$63/AR$64+SUM(AR36:AR$47)*(AR$64-AR$63)/AR$64*AS35)</f>
        <v>0</v>
      </c>
      <c r="AV35" s="35">
        <f t="shared" si="138"/>
        <v>0</v>
      </c>
      <c r="AW35" s="35">
        <f t="shared" si="139"/>
        <v>0</v>
      </c>
      <c r="AX35" s="35"/>
      <c r="AY35" s="87">
        <f>IF($A35=AY$58,AY$53-SUM(AY$11:AY34), 0)</f>
        <v>0</v>
      </c>
      <c r="AZ35" s="8" t="str">
        <f t="shared" si="140"/>
        <v xml:space="preserve">   </v>
      </c>
      <c r="BA35" s="87">
        <f>IF($A35&gt;AY$58, 0, SUM(AY35:AY$47)*AZ35*AY$63/AY$64+SUM(AY36:AY$47)*(AY$64-AY$63)/AY$64*AZ35)</f>
        <v>0</v>
      </c>
      <c r="BB35" s="61"/>
      <c r="BC35" s="87">
        <f>IF($A35=BC$58,BC$53-SUM(BC$11:BC34), 0)</f>
        <v>30000000</v>
      </c>
      <c r="BD35" s="77">
        <f t="shared" si="141"/>
        <v>4.3646000000000004E-2</v>
      </c>
      <c r="BE35" s="87">
        <f>IF($A35&gt;BC$58, 0, SUM(BC35:BC$47)*BD35*BC$63/BC$64+SUM(BC36:BC$47)*(BC$64-BC$63)/BC$64*BD35)</f>
        <v>982035.00000000012</v>
      </c>
      <c r="BF35" s="61"/>
      <c r="BG35" s="87">
        <f>IF($A35=BG$58,BG$53-SUM(BG$11:BG34), 0)</f>
        <v>75000000</v>
      </c>
      <c r="BH35" s="77">
        <f t="shared" si="142"/>
        <v>4.4846000000000004E-2</v>
      </c>
      <c r="BI35" s="87">
        <f>IF($A35&gt;BG$58, 0, SUM(BG35:BG$47)*BH35*BG$63/BG$64+SUM(BG36:BG$47)*(BG$64-BG$63)/BG$64*BH35)</f>
        <v>2522587.5000000005</v>
      </c>
      <c r="BJ35" s="61"/>
      <c r="BK35" s="35">
        <f t="shared" si="167"/>
        <v>105000000</v>
      </c>
      <c r="BL35" s="35">
        <f t="shared" si="168"/>
        <v>3504622.5000000005</v>
      </c>
      <c r="BM35" s="8"/>
      <c r="BN35" s="87">
        <f>IF($A35=BN$58,BN$53-SUM(BN$11:BN34), 0)</f>
        <v>0</v>
      </c>
      <c r="BO35" s="8" t="str">
        <f t="shared" si="143"/>
        <v xml:space="preserve">   </v>
      </c>
      <c r="BP35" s="87">
        <f>IF($A35&gt;BN$58, 0, SUM(BN35:BN$47)*BO35*BN$63/BN$64+SUM(BN36:BN$47)*(BN$64-BN$63)/BN$64*BO35)</f>
        <v>0</v>
      </c>
      <c r="BQ35" s="77"/>
      <c r="BR35" s="87">
        <f>IF($A35=BR$58,BR$53-SUM(BR$11:BR34), 0)</f>
        <v>0</v>
      </c>
      <c r="BS35" s="77">
        <f t="shared" si="144"/>
        <v>3.8800000000000008E-2</v>
      </c>
      <c r="BT35" s="87">
        <f>IF($A35&gt;BR$58, 0, SUM(BR35:BR$47)*BS35*BR$63/BR$64+SUM(BR36:BR$47)*(BR$64-BR$63)/BR$64*BS35)</f>
        <v>2910000.0000000005</v>
      </c>
      <c r="BU35" s="87"/>
      <c r="BV35" s="35">
        <f t="shared" si="169"/>
        <v>0</v>
      </c>
      <c r="BW35" s="35">
        <f t="shared" si="170"/>
        <v>2910000.0000000005</v>
      </c>
      <c r="BX35" s="87"/>
      <c r="BY35" s="87">
        <f>IF($A35='Debt Service'!BY$58, 'Debt Service'!BY$53-SUM(BY$11:BY34), 0)</f>
        <v>0</v>
      </c>
      <c r="BZ35" s="8" t="str">
        <f>IF($A35&gt;'Debt Service'!BY$58, "   ",'Debt Service'!BY$54)</f>
        <v xml:space="preserve">   </v>
      </c>
      <c r="CA35" s="87"/>
      <c r="CB35" s="87"/>
      <c r="CC35" s="87">
        <f>IF($A35='Debt Service'!CC$58, 'Debt Service'!CC$53-SUM(CC$11:CC34), 0)</f>
        <v>0</v>
      </c>
      <c r="CD35" s="77" t="str">
        <f t="shared" si="146"/>
        <v xml:space="preserve">   </v>
      </c>
      <c r="CE35" s="87">
        <f>IF(OR($A35&gt;'Debt Service'!CC$58, $A35&lt;CC$51), 0, SUM(CC35:CC$47)*CD35*CC$63/CC$64+SUM(CC36:CC$47)*(CC$64-CC$63)/CC$64*CD35)</f>
        <v>0</v>
      </c>
      <c r="CF35" s="87"/>
      <c r="CG35" s="87">
        <f>IF($A35=CG$58,CG$53-SUM(CG$11:CG34), 0)</f>
        <v>0</v>
      </c>
      <c r="CH35" s="77">
        <f t="shared" si="147"/>
        <v>3.9000000000000007E-2</v>
      </c>
      <c r="CI35" s="87">
        <f>IF($A35&gt;CG$58, 0, SUM(CG35:CG$47)*CH35*CG$63/CG$64+SUM(CG36:CG$47)*(CG$64-CG$63)/CG$64*CH35)</f>
        <v>2925000.0000000005</v>
      </c>
      <c r="CJ35" s="87"/>
      <c r="CK35" s="87">
        <f>IF($A35=CK$58,CK$53-SUM(CK$11:CK34), 0)</f>
        <v>0</v>
      </c>
      <c r="CL35" s="77">
        <f t="shared" si="148"/>
        <v>4.0410000000000001E-2</v>
      </c>
      <c r="CM35" s="87">
        <f>IF($A35&gt;CK$58, 0, SUM(CK35:CK$47)*CL35*CK$63/CK$64+SUM(CK36:CK$47)*(CK$64-CK$63)/CK$64*CL35)</f>
        <v>3030750</v>
      </c>
      <c r="CN35" s="87"/>
      <c r="CO35" s="162">
        <f t="shared" si="149"/>
        <v>0</v>
      </c>
      <c r="CP35" s="87">
        <f t="shared" si="150"/>
        <v>5955750</v>
      </c>
      <c r="CQ35" s="87"/>
      <c r="CR35" s="87">
        <f>IF($A35='Debt Service'!CR$58, 'Debt Service'!CR$53-SUM(CR$11:CR34), 0)</f>
        <v>0</v>
      </c>
      <c r="CS35" s="77" t="str">
        <f t="shared" si="151"/>
        <v xml:space="preserve">   </v>
      </c>
      <c r="CT35" s="87">
        <f>IF($A35&gt;'Debt Service'!CR$58, 0, SUM(CR35:CR$47)*CS35*CR$63/CR$64+SUM(CR36:CR$47)*(CR$64-CR$63)/CR$64*CS35)</f>
        <v>0</v>
      </c>
      <c r="CU35" s="87"/>
      <c r="CV35" s="87">
        <f>IF($A35=CV$58,CV$53-SUM(CV$11:CV34), 0)</f>
        <v>0</v>
      </c>
      <c r="CW35" s="77">
        <f t="shared" si="152"/>
        <v>3.8800000000000008E-2</v>
      </c>
      <c r="CX35" s="87">
        <f>IF($A35&gt;CV$58, 0, SUM(CV35:CV$47)*CW35*CV$63/CV$64+SUM(CV36:CV$47)*(CV$64-CV$63)/CV$64*CW35)</f>
        <v>2910000.0000000005</v>
      </c>
      <c r="CY35" s="87"/>
      <c r="CZ35" s="165">
        <f t="shared" si="153"/>
        <v>0</v>
      </c>
      <c r="DA35" s="165">
        <f t="shared" si="154"/>
        <v>2910000.0000000005</v>
      </c>
      <c r="DB35" s="165"/>
      <c r="DC35" s="87">
        <f t="shared" si="155"/>
        <v>0</v>
      </c>
      <c r="DD35" s="77" t="str">
        <f t="shared" si="156"/>
        <v>---</v>
      </c>
      <c r="DE35" s="87">
        <f t="shared" si="174"/>
        <v>0</v>
      </c>
      <c r="DF35" s="165"/>
      <c r="DG35" s="87">
        <f>IF($A35=DG$58,DG$53-SUM(DG$11:DG34), 0)</f>
        <v>0</v>
      </c>
      <c r="DH35" s="77" t="str">
        <f t="shared" si="158"/>
        <v xml:space="preserve">   </v>
      </c>
      <c r="DI35" s="87">
        <f>IF(OR($A35&gt;DG$58,$A35&lt;DG$51), 0, SUM(DG35:DG$47)*DH35*DG$63/DG$64+SUM(DG36:DG$47)*(DG$64-DG$63)/DG$64*DH35)</f>
        <v>0</v>
      </c>
      <c r="DJ35" s="87"/>
      <c r="DK35" s="87">
        <f>IF($A35=DK$58,DK$53-SUM(DK$11:DK34), 0)</f>
        <v>0</v>
      </c>
      <c r="DL35" s="77" t="str">
        <f t="shared" si="159"/>
        <v xml:space="preserve">   </v>
      </c>
      <c r="DM35" s="87">
        <f>IF(OR($A35&gt;DK$58,$A35&lt;DK$51), 0, SUM(DK35:DK$47)*DL35*DK$63/DK$64+SUM(DK36:DK$47)*(DK$64-DK$63)/DK$64*DL35)</f>
        <v>0</v>
      </c>
      <c r="DN35" s="87"/>
      <c r="DO35" s="87">
        <f>IF($A35=DO$58,DO$53-SUM(DO$11:DO34), 0)</f>
        <v>0</v>
      </c>
      <c r="DP35" s="77" t="str">
        <f t="shared" si="160"/>
        <v xml:space="preserve">   </v>
      </c>
      <c r="DQ35" s="87">
        <f>IF(OR($A35&gt;DO$58,$A35&lt;DO$51), 0, SUM(DO35:DO$47)*DP35*DO$63/DO$64+SUM(DO36:DO$47)*(DO$64-DO$63)/DO$64*DP35)</f>
        <v>0</v>
      </c>
      <c r="DR35" s="165"/>
      <c r="DS35" s="87">
        <f>IF($A35=DS$58,DS$53-SUM(DS$11:DS34), 0)</f>
        <v>0</v>
      </c>
      <c r="DT35" s="77" t="str">
        <f t="shared" si="161"/>
        <v xml:space="preserve">   </v>
      </c>
      <c r="DU35" s="87">
        <f>IF(OR($A35&gt;DS$58,$A35&lt;DS$51), 0, SUM(DS35:DS$47)*DT35*DS$63/DS$64+SUM(DS36:DS$47)*(DS$64-DS$63)/DS$64*DT35)</f>
        <v>0</v>
      </c>
      <c r="DV35" s="165"/>
      <c r="DW35" s="165">
        <f t="shared" si="171"/>
        <v>105000000</v>
      </c>
      <c r="DX35" s="165">
        <f t="shared" si="172"/>
        <v>15280372.5</v>
      </c>
      <c r="DY35" s="87"/>
      <c r="DZ35" s="53">
        <f t="shared" si="162"/>
        <v>2048</v>
      </c>
      <c r="EA35" s="35">
        <f t="shared" si="163"/>
        <v>105000000</v>
      </c>
      <c r="EB35" s="35">
        <f t="shared" si="164"/>
        <v>15280372.5</v>
      </c>
      <c r="EC35" s="35">
        <f t="shared" si="175"/>
        <v>120280372.5</v>
      </c>
      <c r="ED35" s="171">
        <f t="shared" si="173"/>
        <v>25</v>
      </c>
      <c r="EE35" s="61">
        <f>EA$53-SUM(EA$10:EA35)</f>
        <v>300000000</v>
      </c>
    </row>
    <row r="36" spans="1:135" s="33" customFormat="1" outlineLevel="1">
      <c r="A36" s="7">
        <f t="shared" si="166"/>
        <v>2049</v>
      </c>
      <c r="B36" s="151">
        <f>Assumptions!B33</f>
        <v>5.3800000000000001E-2</v>
      </c>
      <c r="C36" s="151">
        <f>Assumptions!C33</f>
        <v>5.3800000000000001E-2</v>
      </c>
      <c r="D36" s="151">
        <f>Assumptions!D33</f>
        <v>3.5000000000000003E-2</v>
      </c>
      <c r="E36" s="151">
        <f>Assumptions!E33</f>
        <v>5.2999999999999999E-2</v>
      </c>
      <c r="F36" s="151">
        <f>Assumptions!F33</f>
        <v>0</v>
      </c>
      <c r="G36" s="151">
        <f>Assumptions!G33</f>
        <v>3.0000000000000001E-3</v>
      </c>
      <c r="H36" s="151">
        <f>Assumptions!H33</f>
        <v>8.0000000000000004E-4</v>
      </c>
      <c r="I36" s="151"/>
      <c r="J36" s="151"/>
      <c r="K36" s="151"/>
      <c r="L36" s="8"/>
      <c r="M36" s="87">
        <f>IF($A36=M$58,M$53-SUM(M$11:M35), 0)</f>
        <v>0</v>
      </c>
      <c r="N36" s="8" t="str">
        <f t="shared" si="128"/>
        <v xml:space="preserve">   </v>
      </c>
      <c r="O36" s="87">
        <f>IF($A36&gt;M$58, 0, SUM(M36:M$47)*N36*M$63/M$64+SUM(M37:M$47)*(M$64-M$63)/M$64*N36)</f>
        <v>0</v>
      </c>
      <c r="P36" s="35"/>
      <c r="Q36" s="87">
        <f>IF($A36=Q$58,Q$53-SUM(Q$11:Q35), 0)</f>
        <v>0</v>
      </c>
      <c r="R36" s="8" t="str">
        <f t="shared" si="129"/>
        <v xml:space="preserve">   </v>
      </c>
      <c r="S36" s="87">
        <f>IF($A36&gt;Q$58, 0, SUM(Q36:Q$47)*R36*Q$63/Q$64+SUM(Q37:Q$47)*(Q$64-Q$63)/Q$64*R36)</f>
        <v>0</v>
      </c>
      <c r="T36" s="35"/>
      <c r="U36" s="35">
        <f t="shared" si="130"/>
        <v>0</v>
      </c>
      <c r="V36" s="35">
        <f t="shared" si="131"/>
        <v>0</v>
      </c>
      <c r="W36" s="35"/>
      <c r="X36" s="87">
        <f>IF($A36=X$58,X$53-SUM(X$11:X35), 0)</f>
        <v>0</v>
      </c>
      <c r="Y36" s="8" t="str">
        <f t="shared" si="132"/>
        <v xml:space="preserve">   </v>
      </c>
      <c r="Z36" s="87">
        <f>IF($A36&gt;X$58, 0, SUM(X36:X$47)*Y36*X$63/X$64+SUM(X37:X$47)*(X$64-X$63)/X$64*Y36)</f>
        <v>0</v>
      </c>
      <c r="AA36" s="87"/>
      <c r="AB36" s="87">
        <f>IF($A36=AB$58,AB$53-SUM(AB$11:AB35), 0)</f>
        <v>0</v>
      </c>
      <c r="AC36" s="8" t="str">
        <f t="shared" si="133"/>
        <v xml:space="preserve">   </v>
      </c>
      <c r="AD36" s="87">
        <f>IF($A36&gt;AB$58, 0, SUM(AB36:AB$47)*AC36*AB$63/AB$64+SUM(AB37:AB$47)*(AB$64-AB$63)/AB$64*AC36)</f>
        <v>0</v>
      </c>
      <c r="AE36" s="35"/>
      <c r="AF36" s="87">
        <f>IF($A36=AF$58,AF$53-SUM(AF$11:AF35), 0)</f>
        <v>0</v>
      </c>
      <c r="AG36" s="8" t="str">
        <f t="shared" si="134"/>
        <v xml:space="preserve">   </v>
      </c>
      <c r="AH36" s="87">
        <f>IF($A36&gt;AF$58, 0, SUM(AF36:AF$47)*AG36*AF$63/AF$64+SUM(AF37:AF$47)*(AF$64-AF$63)/AF$64*AG36)</f>
        <v>0</v>
      </c>
      <c r="AI36" s="35"/>
      <c r="AJ36" s="87">
        <f>IF($A36=AJ$58,AJ$53-SUM(AJ$11:AJ35), 0)</f>
        <v>0</v>
      </c>
      <c r="AK36" s="77" t="str">
        <f t="shared" si="135"/>
        <v xml:space="preserve">   </v>
      </c>
      <c r="AL36" s="87">
        <f>IF($A36&gt;AJ$58, 0, SUM(AJ36:AJ$47)*AK36*AJ$63/AJ$64+SUM(AJ37:AJ$47)*(AJ$64-AJ$63)/AJ$64*AK36)</f>
        <v>0</v>
      </c>
      <c r="AM36" s="35"/>
      <c r="AN36" s="87">
        <f>IF($A36='Debt Service'!AN$58, 'Debt Service'!AN$53-SUM(AN$11:AN35), 0)</f>
        <v>0</v>
      </c>
      <c r="AO36" s="77" t="str">
        <f t="shared" si="136"/>
        <v xml:space="preserve">   </v>
      </c>
      <c r="AP36" s="87">
        <f>IF($A36&gt;'Debt Service'!AN$58, 0, SUM(AN36:AN$47)*AO36*AN$63/AN$64+SUM(AN37:AN$47)*(AN$64-AN$63)/AN$64*AO36)</f>
        <v>0</v>
      </c>
      <c r="AQ36" s="35"/>
      <c r="AR36" s="87">
        <f>IF($A36=AR$58,AR$53-SUM(AR$11:AR35), 0)</f>
        <v>0</v>
      </c>
      <c r="AS36" s="77" t="str">
        <f t="shared" si="137"/>
        <v xml:space="preserve">   </v>
      </c>
      <c r="AT36" s="87">
        <f>IF($A36&gt;AR$58, 0, SUM(AR36:AR$47)*AS36*AR$63/AR$64+SUM(AR37:AR$47)*(AR$64-AR$63)/AR$64*AS36)</f>
        <v>0</v>
      </c>
      <c r="AV36" s="35">
        <f t="shared" si="138"/>
        <v>0</v>
      </c>
      <c r="AW36" s="35">
        <f t="shared" si="139"/>
        <v>0</v>
      </c>
      <c r="AX36" s="35"/>
      <c r="AY36" s="87">
        <f>IF($A36=AY$58,AY$53-SUM(AY$11:AY35), 0)</f>
        <v>0</v>
      </c>
      <c r="AZ36" s="8" t="str">
        <f t="shared" si="140"/>
        <v xml:space="preserve">   </v>
      </c>
      <c r="BA36" s="87">
        <f>IF($A36&gt;AY$58, 0, SUM(AY36:AY$47)*AZ36*AY$63/AY$64+SUM(AY37:AY$47)*(AY$64-AY$63)/AY$64*AZ36)</f>
        <v>0</v>
      </c>
      <c r="BB36" s="61"/>
      <c r="BC36" s="87">
        <f>IF($A36=BC$58,BC$53-SUM(BC$11:BC35), 0)</f>
        <v>0</v>
      </c>
      <c r="BD36" s="77" t="str">
        <f t="shared" si="141"/>
        <v xml:space="preserve">   </v>
      </c>
      <c r="BE36" s="87">
        <f>IF($A36&gt;BC$58, 0, SUM(BC36:BC$47)*BD36*BC$63/BC$64+SUM(BC37:BC$47)*(BC$64-BC$63)/BC$64*BD36)</f>
        <v>0</v>
      </c>
      <c r="BF36" s="61"/>
      <c r="BG36" s="87">
        <f>IF($A36=BG$58,BG$53-SUM(BG$11:BG35), 0)</f>
        <v>0</v>
      </c>
      <c r="BH36" s="77" t="str">
        <f t="shared" si="142"/>
        <v xml:space="preserve">   </v>
      </c>
      <c r="BI36" s="87">
        <f>IF($A36&gt;BG$58, 0, SUM(BG36:BG$47)*BH36*BG$63/BG$64+SUM(BG37:BG$47)*(BG$64-BG$63)/BG$64*BH36)</f>
        <v>0</v>
      </c>
      <c r="BJ36" s="61"/>
      <c r="BK36" s="35">
        <f t="shared" si="167"/>
        <v>0</v>
      </c>
      <c r="BL36" s="35">
        <f t="shared" si="168"/>
        <v>0</v>
      </c>
      <c r="BM36" s="8"/>
      <c r="BN36" s="87">
        <f>IF($A36=BN$58,BN$53-SUM(BN$11:BN35), 0)</f>
        <v>0</v>
      </c>
      <c r="BO36" s="8" t="str">
        <f t="shared" si="143"/>
        <v xml:space="preserve">   </v>
      </c>
      <c r="BP36" s="87">
        <f>IF($A36&gt;BN$58, 0, SUM(BN36:BN$47)*BO36*BN$63/BN$64+SUM(BN37:BN$47)*(BN$64-BN$63)/BN$64*BO36)</f>
        <v>0</v>
      </c>
      <c r="BQ36" s="77"/>
      <c r="BR36" s="87">
        <f>IF($A36=BR$58,BR$53-SUM(BR$11:BR35), 0)</f>
        <v>0</v>
      </c>
      <c r="BS36" s="77">
        <f t="shared" si="144"/>
        <v>3.8800000000000008E-2</v>
      </c>
      <c r="BT36" s="87">
        <f>IF($A36&gt;BR$58, 0, SUM(BR36:BR$47)*BS36*BR$63/BR$64+SUM(BR37:BR$47)*(BR$64-BR$63)/BR$64*BS36)</f>
        <v>2910000.0000000005</v>
      </c>
      <c r="BU36" s="87"/>
      <c r="BV36" s="35">
        <f t="shared" si="169"/>
        <v>0</v>
      </c>
      <c r="BW36" s="35">
        <f t="shared" si="170"/>
        <v>2910000.0000000005</v>
      </c>
      <c r="BX36" s="87"/>
      <c r="BY36" s="87">
        <f>IF($A36='Debt Service'!BY$58, 'Debt Service'!BY$53-SUM(BY$11:BY35), 0)</f>
        <v>0</v>
      </c>
      <c r="BZ36" s="8" t="str">
        <f>IF($A36&gt;'Debt Service'!BY$58, "   ",'Debt Service'!BY$54)</f>
        <v xml:space="preserve">   </v>
      </c>
      <c r="CA36" s="87"/>
      <c r="CB36" s="87"/>
      <c r="CC36" s="87">
        <f>IF($A36='Debt Service'!CC$58, 'Debt Service'!CC$53-SUM(CC$11:CC35), 0)</f>
        <v>0</v>
      </c>
      <c r="CD36" s="77" t="str">
        <f t="shared" si="146"/>
        <v xml:space="preserve">   </v>
      </c>
      <c r="CE36" s="87">
        <f>IF(OR($A36&gt;'Debt Service'!CC$58, $A36&lt;CC$51), 0, SUM(CC36:CC$47)*CD36*CC$63/CC$64+SUM(CC37:CC$47)*(CC$64-CC$63)/CC$64*CD36)</f>
        <v>0</v>
      </c>
      <c r="CF36" s="87"/>
      <c r="CG36" s="87">
        <f>IF($A36=CG$58,CG$53-SUM(CG$11:CG35), 0)</f>
        <v>0</v>
      </c>
      <c r="CH36" s="77">
        <f t="shared" si="147"/>
        <v>3.9000000000000007E-2</v>
      </c>
      <c r="CI36" s="87">
        <f>IF($A36&gt;CG$58, 0, SUM(CG36:CG$47)*CH36*CG$63/CG$64+SUM(CG37:CG$47)*(CG$64-CG$63)/CG$64*CH36)</f>
        <v>2925000.0000000005</v>
      </c>
      <c r="CJ36" s="87"/>
      <c r="CK36" s="87">
        <f>IF($A36=CK$58,CK$53-SUM(CK$11:CK35), 0)</f>
        <v>0</v>
      </c>
      <c r="CL36" s="77">
        <f t="shared" si="148"/>
        <v>4.0410000000000001E-2</v>
      </c>
      <c r="CM36" s="87">
        <f>IF($A36&gt;CK$58, 0, SUM(CK36:CK$47)*CL36*CK$63/CK$64+SUM(CK37:CK$47)*(CK$64-CK$63)/CK$64*CL36)</f>
        <v>3030750</v>
      </c>
      <c r="CN36" s="87"/>
      <c r="CO36" s="162">
        <f t="shared" si="149"/>
        <v>0</v>
      </c>
      <c r="CP36" s="87">
        <f t="shared" si="150"/>
        <v>5955750</v>
      </c>
      <c r="CQ36" s="87"/>
      <c r="CR36" s="87">
        <f>IF($A36='Debt Service'!CR$58, 'Debt Service'!CR$53-SUM(CR$11:CR35), 0)</f>
        <v>0</v>
      </c>
      <c r="CS36" s="77" t="str">
        <f t="shared" si="151"/>
        <v xml:space="preserve">   </v>
      </c>
      <c r="CT36" s="87">
        <f>IF($A36&gt;'Debt Service'!CR$58, 0, SUM(CR36:CR$47)*CS36*CR$63/CR$64+SUM(CR37:CR$47)*(CR$64-CR$63)/CR$64*CS36)</f>
        <v>0</v>
      </c>
      <c r="CU36" s="87"/>
      <c r="CV36" s="87">
        <f>IF($A36=CV$58,CV$53-SUM(CV$11:CV35), 0)</f>
        <v>0</v>
      </c>
      <c r="CW36" s="77">
        <f t="shared" si="152"/>
        <v>3.8800000000000008E-2</v>
      </c>
      <c r="CX36" s="87">
        <f>IF($A36&gt;CV$58, 0, SUM(CV36:CV$47)*CW36*CV$63/CV$64+SUM(CV37:CV$47)*(CV$64-CV$63)/CV$64*CW36)</f>
        <v>2910000.0000000005</v>
      </c>
      <c r="CY36" s="87"/>
      <c r="CZ36" s="165">
        <f t="shared" si="153"/>
        <v>0</v>
      </c>
      <c r="DA36" s="165">
        <f t="shared" si="154"/>
        <v>2910000.0000000005</v>
      </c>
      <c r="DB36" s="165"/>
      <c r="DC36" s="87">
        <f t="shared" si="155"/>
        <v>0</v>
      </c>
      <c r="DD36" s="77" t="str">
        <f t="shared" si="156"/>
        <v>---</v>
      </c>
      <c r="DE36" s="87">
        <f t="shared" si="174"/>
        <v>0</v>
      </c>
      <c r="DF36" s="165"/>
      <c r="DG36" s="87">
        <f>IF($A36=DG$58,DG$53-SUM(DG$11:DG35), 0)</f>
        <v>0</v>
      </c>
      <c r="DH36" s="77" t="str">
        <f t="shared" si="158"/>
        <v xml:space="preserve">   </v>
      </c>
      <c r="DI36" s="87">
        <f>IF(OR($A36&gt;DG$58,$A36&lt;DG$51), 0, SUM(DG36:DG$47)*DH36*DG$63/DG$64+SUM(DG37:DG$47)*(DG$64-DG$63)/DG$64*DH36)</f>
        <v>0</v>
      </c>
      <c r="DJ36" s="87"/>
      <c r="DK36" s="87">
        <f>IF($A36=DK$58,DK$53-SUM(DK$11:DK35), 0)</f>
        <v>0</v>
      </c>
      <c r="DL36" s="77" t="str">
        <f t="shared" si="159"/>
        <v xml:space="preserve">   </v>
      </c>
      <c r="DM36" s="87">
        <f>IF(OR($A36&gt;DK$58,$A36&lt;DK$51), 0, SUM(DK36:DK$47)*DL36*DK$63/DK$64+SUM(DK37:DK$47)*(DK$64-DK$63)/DK$64*DL36)</f>
        <v>0</v>
      </c>
      <c r="DN36" s="87"/>
      <c r="DO36" s="87">
        <f>IF($A36=DO$58,DO$53-SUM(DO$11:DO35), 0)</f>
        <v>0</v>
      </c>
      <c r="DP36" s="77" t="str">
        <f t="shared" si="160"/>
        <v xml:space="preserve">   </v>
      </c>
      <c r="DQ36" s="87">
        <f>IF(OR($A36&gt;DO$58,$A36&lt;DO$51), 0, SUM(DO36:DO$47)*DP36*DO$63/DO$64+SUM(DO37:DO$47)*(DO$64-DO$63)/DO$64*DP36)</f>
        <v>0</v>
      </c>
      <c r="DR36" s="165"/>
      <c r="DS36" s="87">
        <f>IF($A36=DS$58,DS$53-SUM(DS$11:DS35), 0)</f>
        <v>0</v>
      </c>
      <c r="DT36" s="77" t="str">
        <f t="shared" si="161"/>
        <v xml:space="preserve">   </v>
      </c>
      <c r="DU36" s="87">
        <f>IF(OR($A36&gt;DS$58,$A36&lt;DS$51), 0, SUM(DS36:DS$47)*DT36*DS$63/DS$64+SUM(DS37:DS$47)*(DS$64-DS$63)/DS$64*DT36)</f>
        <v>0</v>
      </c>
      <c r="DV36" s="165"/>
      <c r="DW36" s="165">
        <f t="shared" si="171"/>
        <v>0</v>
      </c>
      <c r="DX36" s="165">
        <f t="shared" si="172"/>
        <v>11775750</v>
      </c>
      <c r="DY36" s="87"/>
      <c r="DZ36" s="53">
        <f t="shared" si="162"/>
        <v>2049</v>
      </c>
      <c r="EA36" s="35">
        <f t="shared" si="163"/>
        <v>0</v>
      </c>
      <c r="EB36" s="35">
        <f t="shared" si="164"/>
        <v>11775750</v>
      </c>
      <c r="EC36" s="35">
        <f t="shared" si="175"/>
        <v>11775750</v>
      </c>
      <c r="ED36" s="171">
        <f t="shared" si="173"/>
        <v>26</v>
      </c>
      <c r="EE36" s="61">
        <f>EA$53-SUM(EA$10:EA36)</f>
        <v>300000000</v>
      </c>
    </row>
    <row r="37" spans="1:135" s="33" customFormat="1" outlineLevel="1">
      <c r="A37" s="7">
        <f t="shared" si="166"/>
        <v>2050</v>
      </c>
      <c r="B37" s="151">
        <f>Assumptions!B34</f>
        <v>5.3800000000000001E-2</v>
      </c>
      <c r="C37" s="151">
        <f>Assumptions!C34</f>
        <v>5.3800000000000001E-2</v>
      </c>
      <c r="D37" s="151">
        <f>Assumptions!D34</f>
        <v>3.5000000000000003E-2</v>
      </c>
      <c r="E37" s="151">
        <f>Assumptions!E34</f>
        <v>5.2999999999999999E-2</v>
      </c>
      <c r="F37" s="151">
        <f>Assumptions!F34</f>
        <v>0</v>
      </c>
      <c r="G37" s="151">
        <f>Assumptions!G34</f>
        <v>3.0000000000000001E-3</v>
      </c>
      <c r="H37" s="151">
        <f>Assumptions!H34</f>
        <v>8.0000000000000004E-4</v>
      </c>
      <c r="I37" s="151"/>
      <c r="J37" s="151"/>
      <c r="K37" s="151"/>
      <c r="L37" s="8"/>
      <c r="M37" s="87">
        <f>IF($A37=M$58,M$53-SUM(M$11:M36), 0)</f>
        <v>0</v>
      </c>
      <c r="N37" s="8" t="str">
        <f t="shared" si="128"/>
        <v xml:space="preserve">   </v>
      </c>
      <c r="O37" s="87">
        <f>IF($A37&gt;M$58, 0, SUM(M37:M$47)*N37*M$63/M$64+SUM(M38:M$47)*(M$64-M$63)/M$64*N37)</f>
        <v>0</v>
      </c>
      <c r="P37" s="35"/>
      <c r="Q37" s="87">
        <f>IF($A37=Q$58,Q$53-SUM(Q$11:Q36), 0)</f>
        <v>0</v>
      </c>
      <c r="R37" s="8" t="str">
        <f t="shared" si="129"/>
        <v xml:space="preserve">   </v>
      </c>
      <c r="S37" s="87">
        <f>IF($A37&gt;Q$58, 0, SUM(Q37:Q$47)*R37*Q$63/Q$64+SUM(Q38:Q$47)*(Q$64-Q$63)/Q$64*R37)</f>
        <v>0</v>
      </c>
      <c r="T37" s="35"/>
      <c r="U37" s="35">
        <f t="shared" si="130"/>
        <v>0</v>
      </c>
      <c r="V37" s="35">
        <f t="shared" si="131"/>
        <v>0</v>
      </c>
      <c r="W37" s="35"/>
      <c r="X37" s="87">
        <f>IF($A37=X$58,X$53-SUM(X$11:X36), 0)</f>
        <v>0</v>
      </c>
      <c r="Y37" s="8" t="str">
        <f t="shared" si="132"/>
        <v xml:space="preserve">   </v>
      </c>
      <c r="Z37" s="87">
        <f>IF($A37&gt;X$58, 0, SUM(X37:X$47)*Y37*X$63/X$64+SUM(X38:X$47)*(X$64-X$63)/X$64*Y37)</f>
        <v>0</v>
      </c>
      <c r="AA37" s="87"/>
      <c r="AB37" s="87">
        <f>IF($A37=AB$58,AB$53-SUM(AB$11:AB36), 0)</f>
        <v>0</v>
      </c>
      <c r="AC37" s="8" t="str">
        <f t="shared" si="133"/>
        <v xml:space="preserve">   </v>
      </c>
      <c r="AD37" s="87">
        <f>IF($A37&gt;AB$58, 0, SUM(AB37:AB$47)*AC37*AB$63/AB$64+SUM(AB38:AB$47)*(AB$64-AB$63)/AB$64*AC37)</f>
        <v>0</v>
      </c>
      <c r="AE37" s="35"/>
      <c r="AF37" s="87">
        <f>IF($A37=AF$58,AF$53-SUM(AF$11:AF36), 0)</f>
        <v>0</v>
      </c>
      <c r="AG37" s="8" t="str">
        <f t="shared" si="134"/>
        <v xml:space="preserve">   </v>
      </c>
      <c r="AH37" s="87">
        <f>IF($A37&gt;AF$58, 0, SUM(AF37:AF$47)*AG37*AF$63/AF$64+SUM(AF38:AF$47)*(AF$64-AF$63)/AF$64*AG37)</f>
        <v>0</v>
      </c>
      <c r="AI37" s="35"/>
      <c r="AJ37" s="87">
        <f>IF($A37=AJ$58,AJ$53-SUM(AJ$11:AJ36), 0)</f>
        <v>0</v>
      </c>
      <c r="AK37" s="77" t="str">
        <f t="shared" si="135"/>
        <v xml:space="preserve">   </v>
      </c>
      <c r="AL37" s="87">
        <f>IF($A37&gt;AJ$58, 0, SUM(AJ37:AJ$47)*AK37*AJ$63/AJ$64+SUM(AJ38:AJ$47)*(AJ$64-AJ$63)/AJ$64*AK37)</f>
        <v>0</v>
      </c>
      <c r="AM37" s="35"/>
      <c r="AN37" s="87">
        <f>IF($A37='Debt Service'!AN$58, 'Debt Service'!AN$53-SUM(AN$11:AN36), 0)</f>
        <v>0</v>
      </c>
      <c r="AO37" s="77" t="str">
        <f t="shared" si="136"/>
        <v xml:space="preserve">   </v>
      </c>
      <c r="AP37" s="87">
        <f>IF($A37&gt;'Debt Service'!AN$58, 0, SUM(AN37:AN$47)*AO37*AN$63/AN$64+SUM(AN38:AN$47)*(AN$64-AN$63)/AN$64*AO37)</f>
        <v>0</v>
      </c>
      <c r="AQ37" s="35"/>
      <c r="AR37" s="87">
        <f>IF($A37=AR$58,AR$53-SUM(AR$11:AR36), 0)</f>
        <v>0</v>
      </c>
      <c r="AS37" s="77" t="str">
        <f t="shared" si="137"/>
        <v xml:space="preserve">   </v>
      </c>
      <c r="AT37" s="87">
        <f>IF($A37&gt;AR$58, 0, SUM(AR37:AR$47)*AS37*AR$63/AR$64+SUM(AR38:AR$47)*(AR$64-AR$63)/AR$64*AS37)</f>
        <v>0</v>
      </c>
      <c r="AV37" s="35">
        <f t="shared" si="138"/>
        <v>0</v>
      </c>
      <c r="AW37" s="35">
        <f t="shared" si="139"/>
        <v>0</v>
      </c>
      <c r="AX37" s="35"/>
      <c r="AY37" s="87">
        <f>IF($A37=AY$58,AY$53-SUM(AY$11:AY36), 0)</f>
        <v>0</v>
      </c>
      <c r="AZ37" s="8" t="str">
        <f t="shared" si="140"/>
        <v xml:space="preserve">   </v>
      </c>
      <c r="BA37" s="87">
        <f>IF($A37&gt;AY$58, 0, SUM(AY37:AY$47)*AZ37*AY$63/AY$64+SUM(AY38:AY$47)*(AY$64-AY$63)/AY$64*AZ37)</f>
        <v>0</v>
      </c>
      <c r="BB37" s="61"/>
      <c r="BC37" s="87">
        <f>IF($A37=BC$58,BC$53-SUM(BC$11:BC36), 0)</f>
        <v>0</v>
      </c>
      <c r="BD37" s="77" t="str">
        <f t="shared" si="141"/>
        <v xml:space="preserve">   </v>
      </c>
      <c r="BE37" s="87">
        <f>IF($A37&gt;BC$58, 0, SUM(BC37:BC$47)*BD37*BC$63/BC$64+SUM(BC38:BC$47)*(BC$64-BC$63)/BC$64*BD37)</f>
        <v>0</v>
      </c>
      <c r="BF37" s="61"/>
      <c r="BG37" s="87">
        <f>IF($A37=BG$58,BG$53-SUM(BG$11:BG36), 0)</f>
        <v>0</v>
      </c>
      <c r="BH37" s="77" t="str">
        <f t="shared" si="142"/>
        <v xml:space="preserve">   </v>
      </c>
      <c r="BI37" s="87">
        <f>IF($A37&gt;BG$58, 0, SUM(BG37:BG$47)*BH37*BG$63/BG$64+SUM(BG38:BG$47)*(BG$64-BG$63)/BG$64*BH37)</f>
        <v>0</v>
      </c>
      <c r="BJ37" s="61"/>
      <c r="BK37" s="35">
        <f t="shared" si="167"/>
        <v>0</v>
      </c>
      <c r="BL37" s="35">
        <f t="shared" si="168"/>
        <v>0</v>
      </c>
      <c r="BM37" s="8"/>
      <c r="BN37" s="87">
        <f>IF($A37=BN$58,BN$53-SUM(BN$11:BN36), 0)</f>
        <v>0</v>
      </c>
      <c r="BO37" s="8" t="str">
        <f t="shared" si="143"/>
        <v xml:space="preserve">   </v>
      </c>
      <c r="BP37" s="87">
        <f>IF($A37&gt;BN$58, 0, SUM(BN37:BN$47)*BO37*BN$63/BN$64+SUM(BN38:BN$47)*(BN$64-BN$63)/BN$64*BO37)</f>
        <v>0</v>
      </c>
      <c r="BQ37" s="77"/>
      <c r="BR37" s="87">
        <f>IF($A37=BR$58,BR$53-SUM(BR$11:BR36), 0)</f>
        <v>0</v>
      </c>
      <c r="BS37" s="77">
        <f t="shared" si="144"/>
        <v>3.8800000000000008E-2</v>
      </c>
      <c r="BT37" s="87">
        <f>IF($A37&gt;BR$58, 0, SUM(BR37:BR$47)*BS37*BR$63/BR$64+SUM(BR38:BR$47)*(BR$64-BR$63)/BR$64*BS37)</f>
        <v>2910000.0000000005</v>
      </c>
      <c r="BU37" s="87"/>
      <c r="BV37" s="35">
        <f t="shared" si="169"/>
        <v>0</v>
      </c>
      <c r="BW37" s="35">
        <f t="shared" si="170"/>
        <v>2910000.0000000005</v>
      </c>
      <c r="BX37" s="87"/>
      <c r="BY37" s="87">
        <f>IF($A37='Debt Service'!BY$58, 'Debt Service'!BY$53-SUM(BY$11:BY36), 0)</f>
        <v>0</v>
      </c>
      <c r="BZ37" s="8" t="str">
        <f>IF($A37&gt;'Debt Service'!BY$58, "   ",'Debt Service'!BY$54)</f>
        <v xml:space="preserve">   </v>
      </c>
      <c r="CA37" s="87"/>
      <c r="CB37" s="87"/>
      <c r="CC37" s="87">
        <f>IF($A37='Debt Service'!CC$58, 'Debt Service'!CC$53-SUM(CC$11:CC36), 0)</f>
        <v>0</v>
      </c>
      <c r="CD37" s="77" t="str">
        <f t="shared" si="146"/>
        <v xml:space="preserve">   </v>
      </c>
      <c r="CE37" s="87">
        <f>IF(OR($A37&gt;'Debt Service'!CC$58, $A37&lt;CC$51), 0, SUM(CC37:CC$47)*CD37*CC$63/CC$64+SUM(CC38:CC$47)*(CC$64-CC$63)/CC$64*CD37)</f>
        <v>0</v>
      </c>
      <c r="CF37" s="87"/>
      <c r="CG37" s="87">
        <f>IF($A37=CG$58,CG$53-SUM(CG$11:CG36), 0)</f>
        <v>0</v>
      </c>
      <c r="CH37" s="77">
        <f t="shared" si="147"/>
        <v>3.9000000000000007E-2</v>
      </c>
      <c r="CI37" s="87">
        <f>IF($A37&gt;CG$58, 0, SUM(CG37:CG$47)*CH37*CG$63/CG$64+SUM(CG38:CG$47)*(CG$64-CG$63)/CG$64*CH37)</f>
        <v>2925000.0000000005</v>
      </c>
      <c r="CJ37" s="87"/>
      <c r="CK37" s="87">
        <f>IF($A37=CK$58,CK$53-SUM(CK$11:CK36), 0)</f>
        <v>0</v>
      </c>
      <c r="CL37" s="77">
        <f t="shared" si="148"/>
        <v>4.0410000000000001E-2</v>
      </c>
      <c r="CM37" s="87">
        <f>IF($A37&gt;CK$58, 0, SUM(CK37:CK$47)*CL37*CK$63/CK$64+SUM(CK38:CK$47)*(CK$64-CK$63)/CK$64*CL37)</f>
        <v>3030750</v>
      </c>
      <c r="CN37" s="87"/>
      <c r="CO37" s="162">
        <f t="shared" si="149"/>
        <v>0</v>
      </c>
      <c r="CP37" s="87">
        <f t="shared" si="150"/>
        <v>5955750</v>
      </c>
      <c r="CQ37" s="87"/>
      <c r="CR37" s="87">
        <f>IF($A37='Debt Service'!CR$58, 'Debt Service'!CR$53-SUM(CR$11:CR36), 0)</f>
        <v>0</v>
      </c>
      <c r="CS37" s="77" t="str">
        <f t="shared" si="151"/>
        <v xml:space="preserve">   </v>
      </c>
      <c r="CT37" s="87">
        <f>IF($A37&gt;'Debt Service'!CR$58, 0, SUM(CR37:CR$47)*CS37*CR$63/CR$64+SUM(CR38:CR$47)*(CR$64-CR$63)/CR$64*CS37)</f>
        <v>0</v>
      </c>
      <c r="CU37" s="87"/>
      <c r="CV37" s="87">
        <f>IF($A37=CV$58,CV$53-SUM(CV$11:CV36), 0)</f>
        <v>0</v>
      </c>
      <c r="CW37" s="77">
        <f t="shared" si="152"/>
        <v>3.8800000000000008E-2</v>
      </c>
      <c r="CX37" s="87">
        <f>IF($A37&gt;CV$58, 0, SUM(CV37:CV$47)*CW37*CV$63/CV$64+SUM(CV38:CV$47)*(CV$64-CV$63)/CV$64*CW37)</f>
        <v>2910000.0000000005</v>
      </c>
      <c r="CY37" s="87"/>
      <c r="CZ37" s="165">
        <f t="shared" si="153"/>
        <v>0</v>
      </c>
      <c r="DA37" s="165">
        <f t="shared" si="154"/>
        <v>2910000.0000000005</v>
      </c>
      <c r="DB37" s="165"/>
      <c r="DC37" s="87">
        <f t="shared" si="155"/>
        <v>0</v>
      </c>
      <c r="DD37" s="77" t="str">
        <f t="shared" si="156"/>
        <v>---</v>
      </c>
      <c r="DE37" s="87">
        <f t="shared" si="174"/>
        <v>0</v>
      </c>
      <c r="DF37" s="165"/>
      <c r="DG37" s="87">
        <f>IF($A37=DG$58,DG$53-SUM(DG$11:DG36), 0)</f>
        <v>0</v>
      </c>
      <c r="DH37" s="77" t="str">
        <f t="shared" si="158"/>
        <v xml:space="preserve">   </v>
      </c>
      <c r="DI37" s="87">
        <f>IF(OR($A37&gt;DG$58,$A37&lt;DG$51), 0, SUM(DG37:DG$47)*DH37*DG$63/DG$64+SUM(DG38:DG$47)*(DG$64-DG$63)/DG$64*DH37)</f>
        <v>0</v>
      </c>
      <c r="DJ37" s="87"/>
      <c r="DK37" s="87">
        <f>IF($A37=DK$58,DK$53-SUM(DK$11:DK36), 0)</f>
        <v>0</v>
      </c>
      <c r="DL37" s="77" t="str">
        <f t="shared" si="159"/>
        <v xml:space="preserve">   </v>
      </c>
      <c r="DM37" s="87">
        <f>IF(OR($A37&gt;DK$58,$A37&lt;DK$51), 0, SUM(DK37:DK$47)*DL37*DK$63/DK$64+SUM(DK38:DK$47)*(DK$64-DK$63)/DK$64*DL37)</f>
        <v>0</v>
      </c>
      <c r="DN37" s="87"/>
      <c r="DO37" s="87">
        <f>IF($A37=DO$58,DO$53-SUM(DO$11:DO36), 0)</f>
        <v>0</v>
      </c>
      <c r="DP37" s="77" t="str">
        <f t="shared" si="160"/>
        <v xml:space="preserve">   </v>
      </c>
      <c r="DQ37" s="87">
        <f>IF(OR($A37&gt;DO$58,$A37&lt;DO$51), 0, SUM(DO37:DO$47)*DP37*DO$63/DO$64+SUM(DO38:DO$47)*(DO$64-DO$63)/DO$64*DP37)</f>
        <v>0</v>
      </c>
      <c r="DR37" s="165"/>
      <c r="DS37" s="87">
        <f>IF($A37=DS$58,DS$53-SUM(DS$11:DS36), 0)</f>
        <v>0</v>
      </c>
      <c r="DT37" s="77" t="str">
        <f t="shared" si="161"/>
        <v xml:space="preserve">   </v>
      </c>
      <c r="DU37" s="87">
        <f>IF(OR($A37&gt;DS$58,$A37&lt;DS$51), 0, SUM(DS37:DS$47)*DT37*DS$63/DS$64+SUM(DS38:DS$47)*(DS$64-DS$63)/DS$64*DT37)</f>
        <v>0</v>
      </c>
      <c r="DV37" s="165"/>
      <c r="DW37" s="165">
        <f t="shared" si="171"/>
        <v>0</v>
      </c>
      <c r="DX37" s="165">
        <f t="shared" si="172"/>
        <v>11775750</v>
      </c>
      <c r="DY37" s="87"/>
      <c r="DZ37" s="53">
        <f t="shared" si="162"/>
        <v>2050</v>
      </c>
      <c r="EA37" s="35">
        <f t="shared" si="163"/>
        <v>0</v>
      </c>
      <c r="EB37" s="35">
        <f t="shared" si="164"/>
        <v>11775750</v>
      </c>
      <c r="EC37" s="35">
        <f t="shared" si="175"/>
        <v>11775750</v>
      </c>
      <c r="ED37" s="171">
        <f t="shared" si="173"/>
        <v>27</v>
      </c>
      <c r="EE37" s="61">
        <f>EA$53-SUM(EA$10:EA37)</f>
        <v>300000000</v>
      </c>
    </row>
    <row r="38" spans="1:135" s="33" customFormat="1" outlineLevel="1">
      <c r="A38" s="7">
        <f t="shared" si="166"/>
        <v>2051</v>
      </c>
      <c r="B38" s="151">
        <f>Assumptions!B35</f>
        <v>5.3800000000000001E-2</v>
      </c>
      <c r="C38" s="151">
        <f>Assumptions!C35</f>
        <v>5.3800000000000001E-2</v>
      </c>
      <c r="D38" s="151">
        <f>Assumptions!D35</f>
        <v>3.5000000000000003E-2</v>
      </c>
      <c r="E38" s="151">
        <f>Assumptions!E35</f>
        <v>5.2999999999999999E-2</v>
      </c>
      <c r="F38" s="151">
        <f>Assumptions!F35</f>
        <v>0</v>
      </c>
      <c r="G38" s="151">
        <f>Assumptions!G35</f>
        <v>3.0000000000000001E-3</v>
      </c>
      <c r="H38" s="151">
        <f>Assumptions!H35</f>
        <v>8.0000000000000004E-4</v>
      </c>
      <c r="I38" s="151"/>
      <c r="J38" s="151"/>
      <c r="K38" s="151"/>
      <c r="L38" s="8"/>
      <c r="M38" s="87">
        <f>IF($A38=M$58,M$53-SUM(M$11:M37), 0)</f>
        <v>0</v>
      </c>
      <c r="N38" s="8" t="str">
        <f t="shared" si="128"/>
        <v xml:space="preserve">   </v>
      </c>
      <c r="O38" s="87">
        <f>IF($A38&gt;M$58, 0, SUM(M38:M$47)*N38*M$63/M$64+SUM(M39:M$47)*(M$64-M$63)/M$64*N38)</f>
        <v>0</v>
      </c>
      <c r="P38" s="35"/>
      <c r="Q38" s="87">
        <f>IF($A38=Q$58,Q$53-SUM(Q$11:Q37), 0)</f>
        <v>0</v>
      </c>
      <c r="R38" s="8" t="str">
        <f t="shared" si="129"/>
        <v xml:space="preserve">   </v>
      </c>
      <c r="S38" s="87">
        <f>IF($A38&gt;Q$58, 0, SUM(Q38:Q$47)*R38*Q$63/Q$64+SUM(Q39:Q$47)*(Q$64-Q$63)/Q$64*R38)</f>
        <v>0</v>
      </c>
      <c r="T38" s="35"/>
      <c r="U38" s="35">
        <f t="shared" si="130"/>
        <v>0</v>
      </c>
      <c r="V38" s="35">
        <f t="shared" si="131"/>
        <v>0</v>
      </c>
      <c r="W38" s="35"/>
      <c r="X38" s="87">
        <f>IF($A38=X$58,X$53-SUM(X$11:X37), 0)</f>
        <v>0</v>
      </c>
      <c r="Y38" s="8" t="str">
        <f t="shared" si="132"/>
        <v xml:space="preserve">   </v>
      </c>
      <c r="Z38" s="87">
        <f>IF($A38&gt;X$58, 0, SUM(X38:X$47)*Y38*X$63/X$64+SUM(X39:X$47)*(X$64-X$63)/X$64*Y38)</f>
        <v>0</v>
      </c>
      <c r="AA38" s="87"/>
      <c r="AB38" s="87">
        <f>IF($A38=AB$58,AB$53-SUM(AB$11:AB37), 0)</f>
        <v>0</v>
      </c>
      <c r="AC38" s="8" t="str">
        <f t="shared" si="133"/>
        <v xml:space="preserve">   </v>
      </c>
      <c r="AD38" s="87">
        <f>IF($A38&gt;AB$58, 0, SUM(AB38:AB$47)*AC38*AB$63/AB$64+SUM(AB39:AB$47)*(AB$64-AB$63)/AB$64*AC38)</f>
        <v>0</v>
      </c>
      <c r="AE38" s="35"/>
      <c r="AF38" s="87">
        <f>IF($A38=AF$58,AF$53-SUM(AF$11:AF37), 0)</f>
        <v>0</v>
      </c>
      <c r="AG38" s="8" t="str">
        <f t="shared" si="134"/>
        <v xml:space="preserve">   </v>
      </c>
      <c r="AH38" s="87">
        <f>IF($A38&gt;AF$58, 0, SUM(AF38:AF$47)*AG38*AF$63/AF$64+SUM(AF39:AF$47)*(AF$64-AF$63)/AF$64*AG38)</f>
        <v>0</v>
      </c>
      <c r="AI38" s="35"/>
      <c r="AJ38" s="87">
        <f>IF($A38=AJ$58,AJ$53-SUM(AJ$11:AJ37), 0)</f>
        <v>0</v>
      </c>
      <c r="AK38" s="77" t="str">
        <f t="shared" si="135"/>
        <v xml:space="preserve">   </v>
      </c>
      <c r="AL38" s="87">
        <f>IF($A38&gt;AJ$58, 0, SUM(AJ38:AJ$47)*AK38*AJ$63/AJ$64+SUM(AJ39:AJ$47)*(AJ$64-AJ$63)/AJ$64*AK38)</f>
        <v>0</v>
      </c>
      <c r="AM38" s="35"/>
      <c r="AN38" s="87">
        <f>IF($A38='Debt Service'!AN$58, 'Debt Service'!AN$53-SUM(AN$11:AN37), 0)</f>
        <v>0</v>
      </c>
      <c r="AO38" s="77" t="str">
        <f t="shared" si="136"/>
        <v xml:space="preserve">   </v>
      </c>
      <c r="AP38" s="87">
        <f>IF($A38&gt;'Debt Service'!AN$58, 0, SUM(AN38:AN$47)*AO38*AN$63/AN$64+SUM(AN39:AN$47)*(AN$64-AN$63)/AN$64*AO38)</f>
        <v>0</v>
      </c>
      <c r="AQ38" s="35"/>
      <c r="AR38" s="87">
        <f>IF($A38=AR$58,AR$53-SUM(AR$11:AR37), 0)</f>
        <v>0</v>
      </c>
      <c r="AS38" s="77" t="str">
        <f t="shared" si="137"/>
        <v xml:space="preserve">   </v>
      </c>
      <c r="AT38" s="87">
        <f>IF($A38&gt;AR$58, 0, SUM(AR38:AR$47)*AS38*AR$63/AR$64+SUM(AR39:AR$47)*(AR$64-AR$63)/AR$64*AS38)</f>
        <v>0</v>
      </c>
      <c r="AV38" s="35">
        <f t="shared" si="138"/>
        <v>0</v>
      </c>
      <c r="AW38" s="35">
        <f t="shared" si="139"/>
        <v>0</v>
      </c>
      <c r="AX38" s="35"/>
      <c r="AY38" s="87">
        <f>IF($A38=AY$58,AY$53-SUM(AY$11:AY37), 0)</f>
        <v>0</v>
      </c>
      <c r="AZ38" s="8" t="str">
        <f t="shared" si="140"/>
        <v xml:space="preserve">   </v>
      </c>
      <c r="BA38" s="87">
        <f>IF($A38&gt;AY$58, 0, SUM(AY38:AY$47)*AZ38*AY$63/AY$64+SUM(AY39:AY$47)*(AY$64-AY$63)/AY$64*AZ38)</f>
        <v>0</v>
      </c>
      <c r="BB38" s="61"/>
      <c r="BC38" s="87">
        <f>IF($A38=BC$58,BC$53-SUM(BC$11:BC37), 0)</f>
        <v>0</v>
      </c>
      <c r="BD38" s="77" t="str">
        <f t="shared" si="141"/>
        <v xml:space="preserve">   </v>
      </c>
      <c r="BE38" s="87">
        <f>IF($A38&gt;BC$58, 0, SUM(BC38:BC$47)*BD38*BC$63/BC$64+SUM(BC39:BC$47)*(BC$64-BC$63)/BC$64*BD38)</f>
        <v>0</v>
      </c>
      <c r="BF38" s="61"/>
      <c r="BG38" s="87">
        <f>IF($A38=BG$58,BG$53-SUM(BG$11:BG37), 0)</f>
        <v>0</v>
      </c>
      <c r="BH38" s="77" t="str">
        <f t="shared" si="142"/>
        <v xml:space="preserve">   </v>
      </c>
      <c r="BI38" s="87">
        <f>IF($A38&gt;BG$58, 0, SUM(BG38:BG$47)*BH38*BG$63/BG$64+SUM(BG39:BG$47)*(BG$64-BG$63)/BG$64*BH38)</f>
        <v>0</v>
      </c>
      <c r="BJ38" s="61"/>
      <c r="BK38" s="35">
        <f t="shared" si="167"/>
        <v>0</v>
      </c>
      <c r="BL38" s="35">
        <f t="shared" si="168"/>
        <v>0</v>
      </c>
      <c r="BM38" s="8"/>
      <c r="BN38" s="87">
        <f>IF($A38=BN$58,BN$53-SUM(BN$11:BN37), 0)</f>
        <v>0</v>
      </c>
      <c r="BO38" s="8" t="str">
        <f t="shared" si="143"/>
        <v xml:space="preserve">   </v>
      </c>
      <c r="BP38" s="87">
        <f>IF($A38&gt;BN$58, 0, SUM(BN38:BN$47)*BO38*BN$63/BN$64+SUM(BN39:BN$47)*(BN$64-BN$63)/BN$64*BO38)</f>
        <v>0</v>
      </c>
      <c r="BQ38" s="77"/>
      <c r="BR38" s="87">
        <f>IF($A38=BR$58,BR$53-SUM(BR$11:BR37), 0)</f>
        <v>0</v>
      </c>
      <c r="BS38" s="77">
        <f t="shared" si="144"/>
        <v>3.8800000000000008E-2</v>
      </c>
      <c r="BT38" s="87">
        <f>IF($A38&gt;BR$58, 0, SUM(BR38:BR$47)*BS38*BR$63/BR$64+SUM(BR39:BR$47)*(BR$64-BR$63)/BR$64*BS38)</f>
        <v>2910000.0000000005</v>
      </c>
      <c r="BU38" s="87"/>
      <c r="BV38" s="35">
        <f t="shared" si="169"/>
        <v>0</v>
      </c>
      <c r="BW38" s="35">
        <f t="shared" si="170"/>
        <v>2910000.0000000005</v>
      </c>
      <c r="BX38" s="87"/>
      <c r="BY38" s="87">
        <f>IF($A38='Debt Service'!BY$58, 'Debt Service'!BY$53-SUM(BY$11:BY37), 0)</f>
        <v>0</v>
      </c>
      <c r="BZ38" s="8" t="str">
        <f>IF($A38&gt;'Debt Service'!BY$58, "   ",'Debt Service'!BY$54)</f>
        <v xml:space="preserve">   </v>
      </c>
      <c r="CA38" s="87"/>
      <c r="CB38" s="87"/>
      <c r="CC38" s="87">
        <f>IF($A38='Debt Service'!CC$58, 'Debt Service'!CC$53-SUM(CC$11:CC37), 0)</f>
        <v>0</v>
      </c>
      <c r="CD38" s="77" t="str">
        <f t="shared" si="146"/>
        <v xml:space="preserve">   </v>
      </c>
      <c r="CE38" s="87">
        <f>IF(OR($A38&gt;'Debt Service'!CC$58, $A38&lt;CC$51), 0, SUM(CC38:CC$47)*CD38*CC$63/CC$64+SUM(CC39:CC$47)*(CC$64-CC$63)/CC$64*CD38)</f>
        <v>0</v>
      </c>
      <c r="CF38" s="87"/>
      <c r="CG38" s="87">
        <f>IF($A38=CG$58,CG$53-SUM(CG$11:CG37), 0)</f>
        <v>0</v>
      </c>
      <c r="CH38" s="77">
        <f t="shared" si="147"/>
        <v>3.9000000000000007E-2</v>
      </c>
      <c r="CI38" s="87">
        <f>IF($A38&gt;CG$58, 0, SUM(CG38:CG$47)*CH38*CG$63/CG$64+SUM(CG39:CG$47)*(CG$64-CG$63)/CG$64*CH38)</f>
        <v>2925000.0000000005</v>
      </c>
      <c r="CJ38" s="87"/>
      <c r="CK38" s="87">
        <f>IF($A38=CK$58,CK$53-SUM(CK$11:CK37), 0)</f>
        <v>0</v>
      </c>
      <c r="CL38" s="77">
        <f t="shared" si="148"/>
        <v>4.0410000000000001E-2</v>
      </c>
      <c r="CM38" s="87">
        <f>IF($A38&gt;CK$58, 0, SUM(CK38:CK$47)*CL38*CK$63/CK$64+SUM(CK39:CK$47)*(CK$64-CK$63)/CK$64*CL38)</f>
        <v>3030750</v>
      </c>
      <c r="CN38" s="87"/>
      <c r="CO38" s="162">
        <f t="shared" si="149"/>
        <v>0</v>
      </c>
      <c r="CP38" s="87">
        <f t="shared" si="150"/>
        <v>5955750</v>
      </c>
      <c r="CQ38" s="87"/>
      <c r="CR38" s="87">
        <f>IF($A38='Debt Service'!CR$58, 'Debt Service'!CR$53-SUM(CR$11:CR37), 0)</f>
        <v>0</v>
      </c>
      <c r="CS38" s="77" t="str">
        <f t="shared" si="151"/>
        <v xml:space="preserve">   </v>
      </c>
      <c r="CT38" s="87">
        <f>IF($A38&gt;'Debt Service'!CR$58, 0, SUM(CR38:CR$47)*CS38*CR$63/CR$64+SUM(CR39:CR$47)*(CR$64-CR$63)/CR$64*CS38)</f>
        <v>0</v>
      </c>
      <c r="CU38" s="87"/>
      <c r="CV38" s="87">
        <f>IF($A38=CV$58,CV$53-SUM(CV$11:CV37), 0)</f>
        <v>0</v>
      </c>
      <c r="CW38" s="77">
        <f t="shared" si="152"/>
        <v>3.8800000000000008E-2</v>
      </c>
      <c r="CX38" s="87">
        <f>IF($A38&gt;CV$58, 0, SUM(CV38:CV$47)*CW38*CV$63/CV$64+SUM(CV39:CV$47)*(CV$64-CV$63)/CV$64*CW38)</f>
        <v>2910000.0000000005</v>
      </c>
      <c r="CY38" s="87"/>
      <c r="CZ38" s="165">
        <f t="shared" si="153"/>
        <v>0</v>
      </c>
      <c r="DA38" s="165">
        <f t="shared" si="154"/>
        <v>2910000.0000000005</v>
      </c>
      <c r="DB38" s="165"/>
      <c r="DC38" s="87">
        <f t="shared" si="155"/>
        <v>0</v>
      </c>
      <c r="DD38" s="77" t="str">
        <f t="shared" si="156"/>
        <v>---</v>
      </c>
      <c r="DE38" s="87">
        <f t="shared" si="174"/>
        <v>0</v>
      </c>
      <c r="DF38" s="165"/>
      <c r="DG38" s="87">
        <f>IF($A38=DG$58,DG$53-SUM(DG$11:DG37), 0)</f>
        <v>0</v>
      </c>
      <c r="DH38" s="77" t="str">
        <f t="shared" si="158"/>
        <v xml:space="preserve">   </v>
      </c>
      <c r="DI38" s="87">
        <f>IF(OR($A38&gt;DG$58,$A38&lt;DG$51), 0, SUM(DG38:DG$47)*DH38*DG$63/DG$64+SUM(DG39:DG$47)*(DG$64-DG$63)/DG$64*DH38)</f>
        <v>0</v>
      </c>
      <c r="DJ38" s="87"/>
      <c r="DK38" s="87">
        <f>IF($A38=DK$58,DK$53-SUM(DK$11:DK37), 0)</f>
        <v>0</v>
      </c>
      <c r="DL38" s="77" t="str">
        <f t="shared" si="159"/>
        <v xml:space="preserve">   </v>
      </c>
      <c r="DM38" s="87">
        <f>IF(OR($A38&gt;DK$58,$A38&lt;DK$51), 0, SUM(DK38:DK$47)*DL38*DK$63/DK$64+SUM(DK39:DK$47)*(DK$64-DK$63)/DK$64*DL38)</f>
        <v>0</v>
      </c>
      <c r="DN38" s="87"/>
      <c r="DO38" s="87">
        <f>IF($A38=DO$58,DO$53-SUM(DO$11:DO37), 0)</f>
        <v>0</v>
      </c>
      <c r="DP38" s="77" t="str">
        <f t="shared" si="160"/>
        <v xml:space="preserve">   </v>
      </c>
      <c r="DQ38" s="87">
        <f>IF(OR($A38&gt;DO$58,$A38&lt;DO$51), 0, SUM(DO38:DO$47)*DP38*DO$63/DO$64+SUM(DO39:DO$47)*(DO$64-DO$63)/DO$64*DP38)</f>
        <v>0</v>
      </c>
      <c r="DR38" s="165"/>
      <c r="DS38" s="87">
        <f>IF($A38=DS$58,DS$53-SUM(DS$11:DS37), 0)</f>
        <v>0</v>
      </c>
      <c r="DT38" s="77" t="str">
        <f t="shared" si="161"/>
        <v xml:space="preserve">   </v>
      </c>
      <c r="DU38" s="87">
        <f>IF(OR($A38&gt;DS$58,$A38&lt;DS$51), 0, SUM(DS38:DS$47)*DT38*DS$63/DS$64+SUM(DS39:DS$47)*(DS$64-DS$63)/DS$64*DT38)</f>
        <v>0</v>
      </c>
      <c r="DV38" s="165"/>
      <c r="DW38" s="165">
        <f t="shared" si="171"/>
        <v>0</v>
      </c>
      <c r="DX38" s="165">
        <f t="shared" si="172"/>
        <v>11775750</v>
      </c>
      <c r="DY38" s="87"/>
      <c r="DZ38" s="53">
        <f t="shared" si="162"/>
        <v>2051</v>
      </c>
      <c r="EA38" s="35">
        <f t="shared" si="163"/>
        <v>0</v>
      </c>
      <c r="EB38" s="35">
        <f t="shared" si="164"/>
        <v>11775750</v>
      </c>
      <c r="EC38" s="35">
        <f t="shared" si="175"/>
        <v>11775750</v>
      </c>
      <c r="ED38" s="171">
        <f t="shared" si="173"/>
        <v>28</v>
      </c>
      <c r="EE38" s="61">
        <f>EA$53-SUM(EA$10:EA38)</f>
        <v>300000000</v>
      </c>
    </row>
    <row r="39" spans="1:135" s="33" customFormat="1" outlineLevel="1">
      <c r="A39" s="7">
        <f t="shared" si="166"/>
        <v>2052</v>
      </c>
      <c r="B39" s="151">
        <f>Assumptions!B36</f>
        <v>5.3800000000000001E-2</v>
      </c>
      <c r="C39" s="151">
        <f>Assumptions!C36</f>
        <v>5.3800000000000001E-2</v>
      </c>
      <c r="D39" s="151">
        <f>Assumptions!D36</f>
        <v>3.5000000000000003E-2</v>
      </c>
      <c r="E39" s="151">
        <f>Assumptions!E36</f>
        <v>5.2999999999999999E-2</v>
      </c>
      <c r="F39" s="151">
        <f>Assumptions!F36</f>
        <v>0</v>
      </c>
      <c r="G39" s="151">
        <f>Assumptions!G36</f>
        <v>3.0000000000000001E-3</v>
      </c>
      <c r="H39" s="151">
        <f>Assumptions!H36</f>
        <v>8.0000000000000004E-4</v>
      </c>
      <c r="I39" s="151"/>
      <c r="J39" s="151"/>
      <c r="K39" s="151"/>
      <c r="L39" s="8"/>
      <c r="M39" s="87">
        <f>IF($A39=M$58,M$53-SUM(M$11:M38), 0)</f>
        <v>0</v>
      </c>
      <c r="N39" s="8" t="str">
        <f t="shared" si="128"/>
        <v xml:space="preserve">   </v>
      </c>
      <c r="O39" s="87">
        <f>IF($A39&gt;M$58, 0, SUM(M39:M$47)*N39*M$63/M$64+SUM(M40:M$47)*(M$64-M$63)/M$64*N39)</f>
        <v>0</v>
      </c>
      <c r="P39" s="35"/>
      <c r="Q39" s="87">
        <f>IF($A39=Q$58,Q$53-SUM(Q$11:Q38), 0)</f>
        <v>0</v>
      </c>
      <c r="R39" s="8" t="str">
        <f t="shared" si="129"/>
        <v xml:space="preserve">   </v>
      </c>
      <c r="S39" s="87">
        <f>IF($A39&gt;Q$58, 0, SUM(Q39:Q$47)*R39*Q$63/Q$64+SUM(Q40:Q$47)*(Q$64-Q$63)/Q$64*R39)</f>
        <v>0</v>
      </c>
      <c r="T39" s="35"/>
      <c r="U39" s="35">
        <f t="shared" si="130"/>
        <v>0</v>
      </c>
      <c r="V39" s="35">
        <f t="shared" si="131"/>
        <v>0</v>
      </c>
      <c r="W39" s="35"/>
      <c r="X39" s="87">
        <f>IF($A39=X$58,X$53-SUM(X$11:X38), 0)</f>
        <v>0</v>
      </c>
      <c r="Y39" s="8" t="str">
        <f t="shared" si="132"/>
        <v xml:space="preserve">   </v>
      </c>
      <c r="Z39" s="87">
        <f>IF($A39&gt;X$58, 0, SUM(X39:X$47)*Y39*X$63/X$64+SUM(X40:X$47)*(X$64-X$63)/X$64*Y39)</f>
        <v>0</v>
      </c>
      <c r="AA39" s="87"/>
      <c r="AB39" s="87">
        <f>IF($A39=AB$58,AB$53-SUM(AB$11:AB38), 0)</f>
        <v>0</v>
      </c>
      <c r="AC39" s="8" t="str">
        <f t="shared" si="133"/>
        <v xml:space="preserve">   </v>
      </c>
      <c r="AD39" s="87">
        <f>IF($A39&gt;AB$58, 0, SUM(AB39:AB$47)*AC39*AB$63/AB$64+SUM(AB40:AB$47)*(AB$64-AB$63)/AB$64*AC39)</f>
        <v>0</v>
      </c>
      <c r="AE39" s="35"/>
      <c r="AF39" s="87">
        <f>IF($A39=AF$58,AF$53-SUM(AF$11:AF38), 0)</f>
        <v>0</v>
      </c>
      <c r="AG39" s="8" t="str">
        <f t="shared" si="134"/>
        <v xml:space="preserve">   </v>
      </c>
      <c r="AH39" s="87">
        <f>IF($A39&gt;AF$58, 0, SUM(AF39:AF$47)*AG39*AF$63/AF$64+SUM(AF40:AF$47)*(AF$64-AF$63)/AF$64*AG39)</f>
        <v>0</v>
      </c>
      <c r="AI39" s="35"/>
      <c r="AJ39" s="87">
        <f>IF($A39=AJ$58,AJ$53-SUM(AJ$11:AJ38), 0)</f>
        <v>0</v>
      </c>
      <c r="AK39" s="77" t="str">
        <f t="shared" si="135"/>
        <v xml:space="preserve">   </v>
      </c>
      <c r="AL39" s="87">
        <f>IF($A39&gt;AJ$58, 0, SUM(AJ39:AJ$47)*AK39*AJ$63/AJ$64+SUM(AJ40:AJ$47)*(AJ$64-AJ$63)/AJ$64*AK39)</f>
        <v>0</v>
      </c>
      <c r="AM39" s="35"/>
      <c r="AN39" s="87">
        <f>IF($A39='Debt Service'!AN$58, 'Debt Service'!AN$53-SUM(AN$11:AN38), 0)</f>
        <v>0</v>
      </c>
      <c r="AO39" s="77" t="str">
        <f t="shared" si="136"/>
        <v xml:space="preserve">   </v>
      </c>
      <c r="AP39" s="87">
        <f>IF($A39&gt;'Debt Service'!AN$58, 0, SUM(AN39:AN$47)*AO39*AN$63/AN$64+SUM(AN40:AN$47)*(AN$64-AN$63)/AN$64*AO39)</f>
        <v>0</v>
      </c>
      <c r="AQ39" s="35"/>
      <c r="AR39" s="87">
        <f>IF($A39=AR$58,AR$53-SUM(AR$11:AR38), 0)</f>
        <v>0</v>
      </c>
      <c r="AS39" s="77" t="str">
        <f t="shared" si="137"/>
        <v xml:space="preserve">   </v>
      </c>
      <c r="AT39" s="87">
        <f>IF($A39&gt;AR$58, 0, SUM(AR39:AR$47)*AS39*AR$63/AR$64+SUM(AR40:AR$47)*(AR$64-AR$63)/AR$64*AS39)</f>
        <v>0</v>
      </c>
      <c r="AV39" s="35">
        <f t="shared" si="138"/>
        <v>0</v>
      </c>
      <c r="AW39" s="35">
        <f t="shared" si="139"/>
        <v>0</v>
      </c>
      <c r="AX39" s="35"/>
      <c r="AY39" s="87">
        <f>IF($A39=AY$58,AY$53-SUM(AY$11:AY38), 0)</f>
        <v>0</v>
      </c>
      <c r="AZ39" s="8" t="str">
        <f t="shared" si="140"/>
        <v xml:space="preserve">   </v>
      </c>
      <c r="BA39" s="87">
        <f>IF($A39&gt;AY$58, 0, SUM(AY39:AY$47)*AZ39*AY$63/AY$64+SUM(AY40:AY$47)*(AY$64-AY$63)/AY$64*AZ39)</f>
        <v>0</v>
      </c>
      <c r="BB39" s="61"/>
      <c r="BC39" s="87">
        <f>IF($A39=BC$58,BC$53-SUM(BC$11:BC38), 0)</f>
        <v>0</v>
      </c>
      <c r="BD39" s="77" t="str">
        <f t="shared" si="141"/>
        <v xml:space="preserve">   </v>
      </c>
      <c r="BE39" s="87">
        <f>IF($A39&gt;BC$58, 0, SUM(BC39:BC$47)*BD39*BC$63/BC$64+SUM(BC40:BC$47)*(BC$64-BC$63)/BC$64*BD39)</f>
        <v>0</v>
      </c>
      <c r="BF39" s="61"/>
      <c r="BG39" s="87">
        <f>IF($A39=BG$58,BG$53-SUM(BG$11:BG38), 0)</f>
        <v>0</v>
      </c>
      <c r="BH39" s="77" t="str">
        <f t="shared" si="142"/>
        <v xml:space="preserve">   </v>
      </c>
      <c r="BI39" s="87">
        <f>IF($A39&gt;BG$58, 0, SUM(BG39:BG$47)*BH39*BG$63/BG$64+SUM(BG40:BG$47)*(BG$64-BG$63)/BG$64*BH39)</f>
        <v>0</v>
      </c>
      <c r="BJ39" s="61"/>
      <c r="BK39" s="35">
        <f t="shared" si="167"/>
        <v>0</v>
      </c>
      <c r="BL39" s="35">
        <f t="shared" si="168"/>
        <v>0</v>
      </c>
      <c r="BM39" s="8"/>
      <c r="BN39" s="87">
        <f>IF($A39=BN$58,BN$53-SUM(BN$11:BN38), 0)</f>
        <v>0</v>
      </c>
      <c r="BO39" s="8" t="str">
        <f t="shared" si="143"/>
        <v xml:space="preserve">   </v>
      </c>
      <c r="BP39" s="87">
        <f>IF($A39&gt;BN$58, 0, SUM(BN39:BN$47)*BO39*BN$63/BN$64+SUM(BN40:BN$47)*(BN$64-BN$63)/BN$64*BO39)</f>
        <v>0</v>
      </c>
      <c r="BQ39" s="77"/>
      <c r="BR39" s="87">
        <f>IF($A39=BR$58,BR$53-SUM(BR$11:BR38), 0)</f>
        <v>0</v>
      </c>
      <c r="BS39" s="77">
        <f t="shared" si="144"/>
        <v>3.8800000000000008E-2</v>
      </c>
      <c r="BT39" s="87">
        <f>IF($A39&gt;BR$58, 0, SUM(BR39:BR$47)*BS39*BR$63/BR$64+SUM(BR40:BR$47)*(BR$64-BR$63)/BR$64*BS39)</f>
        <v>2910000.0000000005</v>
      </c>
      <c r="BU39" s="87"/>
      <c r="BV39" s="35">
        <f t="shared" si="169"/>
        <v>0</v>
      </c>
      <c r="BW39" s="35">
        <f t="shared" si="170"/>
        <v>2910000.0000000005</v>
      </c>
      <c r="BX39" s="87"/>
      <c r="BY39" s="87">
        <f>IF($A39='Debt Service'!BY$58, 'Debt Service'!BY$53-SUM(BY$11:BY38), 0)</f>
        <v>0</v>
      </c>
      <c r="BZ39" s="8" t="str">
        <f>IF($A39&gt;'Debt Service'!BY$58, "   ",'Debt Service'!BY$54)</f>
        <v xml:space="preserve">   </v>
      </c>
      <c r="CA39" s="87"/>
      <c r="CB39" s="87"/>
      <c r="CC39" s="87">
        <f>IF($A39='Debt Service'!CC$58, 'Debt Service'!CC$53-SUM(CC$11:CC38), 0)</f>
        <v>0</v>
      </c>
      <c r="CD39" s="77" t="str">
        <f t="shared" si="146"/>
        <v xml:space="preserve">   </v>
      </c>
      <c r="CE39" s="87">
        <f>IF(OR($A39&gt;'Debt Service'!CC$58, $A39&lt;CC$51), 0, SUM(CC39:CC$47)*CD39*CC$63/CC$64+SUM(CC40:CC$47)*(CC$64-CC$63)/CC$64*CD39)</f>
        <v>0</v>
      </c>
      <c r="CF39" s="87"/>
      <c r="CG39" s="87">
        <f>IF($A39=CG$58,CG$53-SUM(CG$11:CG38), 0)</f>
        <v>0</v>
      </c>
      <c r="CH39" s="77">
        <f t="shared" si="147"/>
        <v>3.9000000000000007E-2</v>
      </c>
      <c r="CI39" s="87">
        <f>IF($A39&gt;CG$58, 0, SUM(CG39:CG$47)*CH39*CG$63/CG$64+SUM(CG40:CG$47)*(CG$64-CG$63)/CG$64*CH39)</f>
        <v>2925000.0000000005</v>
      </c>
      <c r="CJ39" s="87"/>
      <c r="CK39" s="87">
        <f>IF($A39=CK$58,CK$53-SUM(CK$11:CK38), 0)</f>
        <v>0</v>
      </c>
      <c r="CL39" s="77">
        <f t="shared" si="148"/>
        <v>4.0410000000000001E-2</v>
      </c>
      <c r="CM39" s="87">
        <f>IF($A39&gt;CK$58, 0, SUM(CK39:CK$47)*CL39*CK$63/CK$64+SUM(CK40:CK$47)*(CK$64-CK$63)/CK$64*CL39)</f>
        <v>3030750</v>
      </c>
      <c r="CN39" s="87"/>
      <c r="CO39" s="162">
        <f t="shared" si="149"/>
        <v>0</v>
      </c>
      <c r="CP39" s="87">
        <f t="shared" si="150"/>
        <v>5955750</v>
      </c>
      <c r="CQ39" s="87"/>
      <c r="CR39" s="87">
        <f>IF($A39='Debt Service'!CR$58, 'Debt Service'!CR$53-SUM(CR$11:CR38), 0)</f>
        <v>0</v>
      </c>
      <c r="CS39" s="77" t="str">
        <f t="shared" si="151"/>
        <v xml:space="preserve">   </v>
      </c>
      <c r="CT39" s="87">
        <f>IF($A39&gt;'Debt Service'!CR$58, 0, SUM(CR39:CR$47)*CS39*CR$63/CR$64+SUM(CR40:CR$47)*(CR$64-CR$63)/CR$64*CS39)</f>
        <v>0</v>
      </c>
      <c r="CU39" s="87"/>
      <c r="CV39" s="87">
        <f>IF($A39=CV$58,CV$53-SUM(CV$11:CV38), 0)</f>
        <v>75000000</v>
      </c>
      <c r="CW39" s="77">
        <f t="shared" si="152"/>
        <v>3.8800000000000008E-2</v>
      </c>
      <c r="CX39" s="87">
        <f>IF($A39&gt;CV$58, 0, SUM(CV39:CV$47)*CW39*CV$63/CV$64+SUM(CV40:CV$47)*(CV$64-CV$63)/CV$64*CW39)</f>
        <v>727500.00000000012</v>
      </c>
      <c r="CY39" s="87"/>
      <c r="CZ39" s="165">
        <f t="shared" si="153"/>
        <v>75000000</v>
      </c>
      <c r="DA39" s="165">
        <f t="shared" si="154"/>
        <v>727500.00000000012</v>
      </c>
      <c r="DB39" s="165"/>
      <c r="DC39" s="87">
        <f t="shared" si="155"/>
        <v>0</v>
      </c>
      <c r="DD39" s="77" t="str">
        <f t="shared" si="156"/>
        <v>---</v>
      </c>
      <c r="DE39" s="87">
        <f t="shared" si="174"/>
        <v>0</v>
      </c>
      <c r="DF39" s="165"/>
      <c r="DG39" s="87">
        <f>IF($A39=DG$58,DG$53-SUM(DG$11:DG38), 0)</f>
        <v>0</v>
      </c>
      <c r="DH39" s="77" t="str">
        <f t="shared" si="158"/>
        <v xml:space="preserve">   </v>
      </c>
      <c r="DI39" s="87">
        <f>IF(OR($A39&gt;DG$58,$A39&lt;DG$51), 0, SUM(DG39:DG$47)*DH39*DG$63/DG$64+SUM(DG40:DG$47)*(DG$64-DG$63)/DG$64*DH39)</f>
        <v>0</v>
      </c>
      <c r="DJ39" s="87"/>
      <c r="DK39" s="87">
        <f>IF($A39=DK$58,DK$53-SUM(DK$11:DK38), 0)</f>
        <v>0</v>
      </c>
      <c r="DL39" s="77" t="str">
        <f t="shared" si="159"/>
        <v xml:space="preserve">   </v>
      </c>
      <c r="DM39" s="87">
        <f>IF(OR($A39&gt;DK$58,$A39&lt;DK$51), 0, SUM(DK39:DK$47)*DL39*DK$63/DK$64+SUM(DK40:DK$47)*(DK$64-DK$63)/DK$64*DL39)</f>
        <v>0</v>
      </c>
      <c r="DN39" s="87"/>
      <c r="DO39" s="87">
        <f>IF($A39=DO$58,DO$53-SUM(DO$11:DO38), 0)</f>
        <v>0</v>
      </c>
      <c r="DP39" s="77" t="str">
        <f t="shared" si="160"/>
        <v xml:space="preserve">   </v>
      </c>
      <c r="DQ39" s="87">
        <f>IF(OR($A39&gt;DO$58,$A39&lt;DO$51), 0, SUM(DO39:DO$47)*DP39*DO$63/DO$64+SUM(DO40:DO$47)*(DO$64-DO$63)/DO$64*DP39)</f>
        <v>0</v>
      </c>
      <c r="DR39" s="165"/>
      <c r="DS39" s="87">
        <f>IF($A39=DS$58,DS$53-SUM(DS$11:DS38), 0)</f>
        <v>0</v>
      </c>
      <c r="DT39" s="77" t="str">
        <f t="shared" si="161"/>
        <v xml:space="preserve">   </v>
      </c>
      <c r="DU39" s="87">
        <f>IF(OR($A39&gt;DS$58,$A39&lt;DS$51), 0, SUM(DS39:DS$47)*DT39*DS$63/DS$64+SUM(DS40:DS$47)*(DS$64-DS$63)/DS$64*DT39)</f>
        <v>0</v>
      </c>
      <c r="DV39" s="165"/>
      <c r="DW39" s="165">
        <f t="shared" si="171"/>
        <v>75000000</v>
      </c>
      <c r="DX39" s="165">
        <f t="shared" si="172"/>
        <v>9593250</v>
      </c>
      <c r="DY39" s="87"/>
      <c r="DZ39" s="53">
        <f t="shared" si="162"/>
        <v>2052</v>
      </c>
      <c r="EA39" s="35">
        <f t="shared" si="163"/>
        <v>75000000</v>
      </c>
      <c r="EB39" s="35">
        <f t="shared" si="164"/>
        <v>9593250</v>
      </c>
      <c r="EC39" s="35">
        <f t="shared" si="175"/>
        <v>84593250</v>
      </c>
      <c r="ED39" s="171">
        <f t="shared" si="173"/>
        <v>29</v>
      </c>
      <c r="EE39" s="61">
        <f>EA$53-SUM(EA$10:EA39)</f>
        <v>225000000</v>
      </c>
    </row>
    <row r="40" spans="1:135" s="33" customFormat="1" outlineLevel="1">
      <c r="A40" s="7">
        <f t="shared" si="166"/>
        <v>2053</v>
      </c>
      <c r="B40" s="151">
        <f>Assumptions!B37</f>
        <v>5.3800000000000001E-2</v>
      </c>
      <c r="C40" s="151">
        <f>Assumptions!C37</f>
        <v>5.3800000000000001E-2</v>
      </c>
      <c r="D40" s="151">
        <f>Assumptions!D37</f>
        <v>3.5000000000000003E-2</v>
      </c>
      <c r="E40" s="151">
        <f>Assumptions!E37</f>
        <v>5.2999999999999999E-2</v>
      </c>
      <c r="F40" s="151">
        <f>Assumptions!F37</f>
        <v>0</v>
      </c>
      <c r="G40" s="151">
        <f>Assumptions!G37</f>
        <v>3.0000000000000001E-3</v>
      </c>
      <c r="H40" s="151">
        <f>Assumptions!H37</f>
        <v>8.0000000000000004E-4</v>
      </c>
      <c r="I40" s="151"/>
      <c r="J40" s="151"/>
      <c r="K40" s="151"/>
      <c r="L40" s="8"/>
      <c r="M40" s="87">
        <f>IF($A40=M$58,M$53-SUM(M$11:M39), 0)</f>
        <v>0</v>
      </c>
      <c r="N40" s="8" t="str">
        <f t="shared" si="128"/>
        <v xml:space="preserve">   </v>
      </c>
      <c r="O40" s="87">
        <f>IF($A40&gt;M$58, 0, SUM(M40:M$47)*N40*M$63/M$64+SUM(M41:M$47)*(M$64-M$63)/M$64*N40)</f>
        <v>0</v>
      </c>
      <c r="P40" s="35"/>
      <c r="Q40" s="87">
        <f>IF($A40=Q$58,Q$53-SUM(Q$11:Q39), 0)</f>
        <v>0</v>
      </c>
      <c r="R40" s="8" t="str">
        <f t="shared" si="129"/>
        <v xml:space="preserve">   </v>
      </c>
      <c r="S40" s="87">
        <f>IF($A40&gt;Q$58, 0, SUM(Q40:Q$47)*R40*Q$63/Q$64+SUM(Q41:Q$47)*(Q$64-Q$63)/Q$64*R40)</f>
        <v>0</v>
      </c>
      <c r="T40" s="35"/>
      <c r="U40" s="35">
        <f t="shared" si="130"/>
        <v>0</v>
      </c>
      <c r="V40" s="35">
        <f t="shared" si="131"/>
        <v>0</v>
      </c>
      <c r="W40" s="35"/>
      <c r="X40" s="87">
        <f>IF($A40=X$58,X$53-SUM(X$11:X39), 0)</f>
        <v>0</v>
      </c>
      <c r="Y40" s="8" t="str">
        <f t="shared" si="132"/>
        <v xml:space="preserve">   </v>
      </c>
      <c r="Z40" s="87">
        <f>IF($A40&gt;X$58, 0, SUM(X40:X$47)*Y40*X$63/X$64+SUM(X41:X$47)*(X$64-X$63)/X$64*Y40)</f>
        <v>0</v>
      </c>
      <c r="AA40" s="87"/>
      <c r="AB40" s="87">
        <f>IF($A40=AB$58,AB$53-SUM(AB$11:AB39), 0)</f>
        <v>0</v>
      </c>
      <c r="AC40" s="8" t="str">
        <f t="shared" si="133"/>
        <v xml:space="preserve">   </v>
      </c>
      <c r="AD40" s="87">
        <f>IF($A40&gt;AB$58, 0, SUM(AB40:AB$47)*AC40*AB$63/AB$64+SUM(AB41:AB$47)*(AB$64-AB$63)/AB$64*AC40)</f>
        <v>0</v>
      </c>
      <c r="AE40" s="35"/>
      <c r="AF40" s="87">
        <f>IF($A40=AF$58,AF$53-SUM(AF$11:AF39), 0)</f>
        <v>0</v>
      </c>
      <c r="AG40" s="8" t="str">
        <f t="shared" si="134"/>
        <v xml:space="preserve">   </v>
      </c>
      <c r="AH40" s="87">
        <f>IF($A40&gt;AF$58, 0, SUM(AF40:AF$47)*AG40*AF$63/AF$64+SUM(AF41:AF$47)*(AF$64-AF$63)/AF$64*AG40)</f>
        <v>0</v>
      </c>
      <c r="AI40" s="35"/>
      <c r="AJ40" s="87">
        <f>IF($A40=AJ$58,AJ$53-SUM(AJ$11:AJ39), 0)</f>
        <v>0</v>
      </c>
      <c r="AK40" s="77" t="str">
        <f t="shared" si="135"/>
        <v xml:space="preserve">   </v>
      </c>
      <c r="AL40" s="87">
        <f>IF($A40&gt;AJ$58, 0, SUM(AJ40:AJ$47)*AK40*AJ$63/AJ$64+SUM(AJ41:AJ$47)*(AJ$64-AJ$63)/AJ$64*AK40)</f>
        <v>0</v>
      </c>
      <c r="AM40" s="35"/>
      <c r="AN40" s="87">
        <f>IF($A40='Debt Service'!AN$58, 'Debt Service'!AN$53-SUM(AN$11:AN39), 0)</f>
        <v>0</v>
      </c>
      <c r="AO40" s="77" t="str">
        <f t="shared" si="136"/>
        <v xml:space="preserve">   </v>
      </c>
      <c r="AP40" s="87">
        <f>IF($A40&gt;'Debt Service'!AN$58, 0, SUM(AN40:AN$47)*AO40*AN$63/AN$64+SUM(AN41:AN$47)*(AN$64-AN$63)/AN$64*AO40)</f>
        <v>0</v>
      </c>
      <c r="AQ40" s="35"/>
      <c r="AR40" s="87">
        <f>IF($A40=AR$58,AR$53-SUM(AR$11:AR39), 0)</f>
        <v>0</v>
      </c>
      <c r="AS40" s="77" t="str">
        <f t="shared" si="137"/>
        <v xml:space="preserve">   </v>
      </c>
      <c r="AT40" s="87">
        <f>IF($A40&gt;AR$58, 0, SUM(AR40:AR$47)*AS40*AR$63/AR$64+SUM(AR41:AR$47)*(AR$64-AR$63)/AR$64*AS40)</f>
        <v>0</v>
      </c>
      <c r="AV40" s="35">
        <f t="shared" si="138"/>
        <v>0</v>
      </c>
      <c r="AW40" s="35">
        <f t="shared" si="139"/>
        <v>0</v>
      </c>
      <c r="AX40" s="35"/>
      <c r="AY40" s="87">
        <f>IF($A40=AY$58,AY$53-SUM(AY$11:AY39), 0)</f>
        <v>0</v>
      </c>
      <c r="AZ40" s="8" t="str">
        <f t="shared" si="140"/>
        <v xml:space="preserve">   </v>
      </c>
      <c r="BA40" s="87">
        <f>IF($A40&gt;AY$58, 0, SUM(AY40:AY$47)*AZ40*AY$63/AY$64+SUM(AY41:AY$47)*(AY$64-AY$63)/AY$64*AZ40)</f>
        <v>0</v>
      </c>
      <c r="BB40" s="61"/>
      <c r="BC40" s="87">
        <f>IF($A40=BC$58,BC$53-SUM(BC$11:BC39), 0)</f>
        <v>0</v>
      </c>
      <c r="BD40" s="77" t="str">
        <f t="shared" si="141"/>
        <v xml:space="preserve">   </v>
      </c>
      <c r="BE40" s="87">
        <f>IF($A40&gt;BC$58, 0, SUM(BC40:BC$47)*BD40*BC$63/BC$64+SUM(BC41:BC$47)*(BC$64-BC$63)/BC$64*BD40)</f>
        <v>0</v>
      </c>
      <c r="BF40" s="61"/>
      <c r="BG40" s="87">
        <f>IF($A40=BG$58,BG$53-SUM(BG$11:BG39), 0)</f>
        <v>0</v>
      </c>
      <c r="BH40" s="77" t="str">
        <f t="shared" si="142"/>
        <v xml:space="preserve">   </v>
      </c>
      <c r="BI40" s="87">
        <f>IF($A40&gt;BG$58, 0, SUM(BG40:BG$47)*BH40*BG$63/BG$64+SUM(BG41:BG$47)*(BG$64-BG$63)/BG$64*BH40)</f>
        <v>0</v>
      </c>
      <c r="BJ40" s="61"/>
      <c r="BK40" s="35">
        <f t="shared" si="167"/>
        <v>0</v>
      </c>
      <c r="BL40" s="35">
        <f t="shared" si="168"/>
        <v>0</v>
      </c>
      <c r="BM40" s="8"/>
      <c r="BN40" s="87">
        <f>IF($A40=BN$58,BN$53-SUM(BN$11:BN39), 0)</f>
        <v>0</v>
      </c>
      <c r="BO40" s="8" t="str">
        <f t="shared" si="143"/>
        <v xml:space="preserve">   </v>
      </c>
      <c r="BP40" s="87">
        <f>IF($A40&gt;BN$58, 0, SUM(BN40:BN$47)*BO40*BN$63/BN$64+SUM(BN41:BN$47)*(BN$64-BN$63)/BN$64*BO40)</f>
        <v>0</v>
      </c>
      <c r="BQ40" s="77"/>
      <c r="BR40" s="87">
        <f>IF($A40=BR$58,BR$53-SUM(BR$11:BR39), 0)</f>
        <v>0</v>
      </c>
      <c r="BS40" s="77">
        <f t="shared" si="144"/>
        <v>3.8800000000000008E-2</v>
      </c>
      <c r="BT40" s="87">
        <f>IF($A40&gt;BR$58, 0, SUM(BR40:BR$47)*BS40*BR$63/BR$64+SUM(BR41:BR$47)*(BR$64-BR$63)/BR$64*BS40)</f>
        <v>2910000.0000000005</v>
      </c>
      <c r="BU40" s="87"/>
      <c r="BV40" s="35">
        <f t="shared" si="169"/>
        <v>0</v>
      </c>
      <c r="BW40" s="35">
        <f t="shared" si="170"/>
        <v>2910000.0000000005</v>
      </c>
      <c r="BX40" s="87"/>
      <c r="BY40" s="87">
        <f>IF($A40='Debt Service'!BY$58, 'Debt Service'!BY$53-SUM(BY$11:BY39), 0)</f>
        <v>0</v>
      </c>
      <c r="BZ40" s="8" t="str">
        <f>IF($A40&gt;'Debt Service'!BY$58, "   ",'Debt Service'!BY$54)</f>
        <v xml:space="preserve">   </v>
      </c>
      <c r="CA40" s="87"/>
      <c r="CB40" s="87"/>
      <c r="CC40" s="87">
        <f>IF($A40='Debt Service'!CC$58, 'Debt Service'!CC$53-SUM(CC$11:CC39), 0)</f>
        <v>0</v>
      </c>
      <c r="CD40" s="77" t="str">
        <f t="shared" si="146"/>
        <v xml:space="preserve">   </v>
      </c>
      <c r="CE40" s="87">
        <f>IF(OR($A40&gt;'Debt Service'!CC$58, $A40&lt;CC$51), 0, SUM(CC40:CC$47)*CD40*CC$63/CC$64+SUM(CC41:CC$47)*(CC$64-CC$63)/CC$64*CD40)</f>
        <v>0</v>
      </c>
      <c r="CF40" s="87"/>
      <c r="CG40" s="87">
        <f>IF($A40=CG$58,CG$53-SUM(CG$11:CG39), 0)</f>
        <v>0</v>
      </c>
      <c r="CH40" s="77">
        <f t="shared" si="147"/>
        <v>3.9000000000000007E-2</v>
      </c>
      <c r="CI40" s="87">
        <f>IF($A40&gt;CG$58, 0, SUM(CG40:CG$47)*CH40*CG$63/CG$64+SUM(CG41:CG$47)*(CG$64-CG$63)/CG$64*CH40)</f>
        <v>2925000.0000000005</v>
      </c>
      <c r="CJ40" s="87"/>
      <c r="CK40" s="87">
        <f>IF($A40=CK$58,CK$53-SUM(CK$11:CK39), 0)</f>
        <v>0</v>
      </c>
      <c r="CL40" s="77">
        <f t="shared" si="148"/>
        <v>4.0410000000000001E-2</v>
      </c>
      <c r="CM40" s="87">
        <f>IF($A40&gt;CK$58, 0, SUM(CK40:CK$47)*CL40*CK$63/CK$64+SUM(CK41:CK$47)*(CK$64-CK$63)/CK$64*CL40)</f>
        <v>3030750</v>
      </c>
      <c r="CN40" s="87"/>
      <c r="CO40" s="162">
        <f t="shared" si="149"/>
        <v>0</v>
      </c>
      <c r="CP40" s="87">
        <f t="shared" si="150"/>
        <v>5955750</v>
      </c>
      <c r="CQ40" s="87"/>
      <c r="CR40" s="87">
        <f>IF($A40='Debt Service'!CR$58, 'Debt Service'!CR$53-SUM(CR$11:CR39), 0)</f>
        <v>0</v>
      </c>
      <c r="CS40" s="77" t="str">
        <f t="shared" si="151"/>
        <v xml:space="preserve">   </v>
      </c>
      <c r="CT40" s="87">
        <f>IF($A40&gt;'Debt Service'!CR$58, 0, SUM(CR40:CR$47)*CS40*CR$63/CR$64+SUM(CR41:CR$47)*(CR$64-CR$63)/CR$64*CS40)</f>
        <v>0</v>
      </c>
      <c r="CU40" s="87"/>
      <c r="CV40" s="87">
        <f>IF($A40=CV$58,CV$53-SUM(CV$11:CV39), 0)</f>
        <v>0</v>
      </c>
      <c r="CW40" s="77" t="str">
        <f t="shared" si="152"/>
        <v xml:space="preserve">   </v>
      </c>
      <c r="CX40" s="87">
        <f>IF($A40&gt;CV$58, 0, SUM(CV40:CV$47)*CW40*CV$63/CV$64+SUM(CV41:CV$47)*(CV$64-CV$63)/CV$64*CW40)</f>
        <v>0</v>
      </c>
      <c r="CY40" s="87"/>
      <c r="CZ40" s="165">
        <f t="shared" si="153"/>
        <v>0</v>
      </c>
      <c r="DA40" s="165">
        <f t="shared" si="154"/>
        <v>0</v>
      </c>
      <c r="DB40" s="165"/>
      <c r="DC40" s="87">
        <f t="shared" si="155"/>
        <v>0</v>
      </c>
      <c r="DD40" s="77" t="str">
        <f t="shared" si="156"/>
        <v>---</v>
      </c>
      <c r="DE40" s="87">
        <f t="shared" si="174"/>
        <v>0</v>
      </c>
      <c r="DF40" s="165"/>
      <c r="DG40" s="87">
        <f>IF($A40=DG$58,DG$53-SUM(DG$11:DG39), 0)</f>
        <v>0</v>
      </c>
      <c r="DH40" s="77" t="str">
        <f t="shared" si="158"/>
        <v xml:space="preserve">   </v>
      </c>
      <c r="DI40" s="87">
        <f>IF(OR($A40&gt;DG$58,$A40&lt;DG$51), 0, SUM(DG40:DG$47)*DH40*DG$63/DG$64+SUM(DG41:DG$47)*(DG$64-DG$63)/DG$64*DH40)</f>
        <v>0</v>
      </c>
      <c r="DJ40" s="87"/>
      <c r="DK40" s="87">
        <f>IF($A40=DK$58,DK$53-SUM(DK$11:DK39), 0)</f>
        <v>0</v>
      </c>
      <c r="DL40" s="77" t="str">
        <f t="shared" si="159"/>
        <v xml:space="preserve">   </v>
      </c>
      <c r="DM40" s="87">
        <f>IF(OR($A40&gt;DK$58,$A40&lt;DK$51), 0, SUM(DK40:DK$47)*DL40*DK$63/DK$64+SUM(DK41:DK$47)*(DK$64-DK$63)/DK$64*DL40)</f>
        <v>0</v>
      </c>
      <c r="DN40" s="87"/>
      <c r="DO40" s="87">
        <f>IF($A40=DO$58,DO$53-SUM(DO$11:DO39), 0)</f>
        <v>0</v>
      </c>
      <c r="DP40" s="77" t="str">
        <f t="shared" si="160"/>
        <v xml:space="preserve">   </v>
      </c>
      <c r="DQ40" s="87">
        <f>IF(OR($A40&gt;DO$58,$A40&lt;DO$51), 0, SUM(DO40:DO$47)*DP40*DO$63/DO$64+SUM(DO41:DO$47)*(DO$64-DO$63)/DO$64*DP40)</f>
        <v>0</v>
      </c>
      <c r="DR40" s="165"/>
      <c r="DS40" s="87">
        <f>IF($A40=DS$58,DS$53-SUM(DS$11:DS39), 0)</f>
        <v>0</v>
      </c>
      <c r="DT40" s="77" t="str">
        <f t="shared" si="161"/>
        <v xml:space="preserve">   </v>
      </c>
      <c r="DU40" s="87">
        <f>IF(OR($A40&gt;DS$58,$A40&lt;DS$51), 0, SUM(DS40:DS$47)*DT40*DS$63/DS$64+SUM(DS41:DS$47)*(DS$64-DS$63)/DS$64*DT40)</f>
        <v>0</v>
      </c>
      <c r="DV40" s="165"/>
      <c r="DW40" s="165">
        <f t="shared" si="171"/>
        <v>0</v>
      </c>
      <c r="DX40" s="165">
        <f t="shared" si="172"/>
        <v>8865750</v>
      </c>
      <c r="DY40" s="87"/>
      <c r="DZ40" s="53">
        <f t="shared" si="162"/>
        <v>2053</v>
      </c>
      <c r="EA40" s="35">
        <f t="shared" si="163"/>
        <v>0</v>
      </c>
      <c r="EB40" s="35">
        <f t="shared" si="164"/>
        <v>8865750</v>
      </c>
      <c r="EC40" s="35">
        <f t="shared" si="175"/>
        <v>8865750</v>
      </c>
      <c r="ED40" s="171">
        <f t="shared" si="173"/>
        <v>30</v>
      </c>
      <c r="EE40" s="61">
        <f>EA$53-SUM(EA$10:EA40)</f>
        <v>225000000</v>
      </c>
    </row>
    <row r="41" spans="1:135" s="33" customFormat="1" outlineLevel="1">
      <c r="A41" s="7">
        <f t="shared" si="166"/>
        <v>2054</v>
      </c>
      <c r="B41" s="151">
        <f>Assumptions!B38</f>
        <v>5.3800000000000001E-2</v>
      </c>
      <c r="C41" s="151">
        <f>Assumptions!C38</f>
        <v>5.3800000000000001E-2</v>
      </c>
      <c r="D41" s="151">
        <f>Assumptions!D38</f>
        <v>3.5000000000000003E-2</v>
      </c>
      <c r="E41" s="151">
        <f>Assumptions!E38</f>
        <v>5.2999999999999999E-2</v>
      </c>
      <c r="F41" s="151">
        <f>Assumptions!F38</f>
        <v>0</v>
      </c>
      <c r="G41" s="151">
        <f>Assumptions!G38</f>
        <v>3.0000000000000001E-3</v>
      </c>
      <c r="H41" s="151">
        <f>Assumptions!H38</f>
        <v>8.0000000000000004E-4</v>
      </c>
      <c r="I41" s="151"/>
      <c r="J41" s="151"/>
      <c r="K41" s="151"/>
      <c r="L41" s="8"/>
      <c r="M41" s="87">
        <f>IF($A41=M$58,M$53-SUM(M$11:M40), 0)</f>
        <v>0</v>
      </c>
      <c r="N41" s="8" t="str">
        <f t="shared" si="128"/>
        <v xml:space="preserve">   </v>
      </c>
      <c r="O41" s="87">
        <f>IF($A41&gt;M$58, 0, SUM(M41:M$47)*N41*M$63/M$64+SUM(M42:M$47)*(M$64-M$63)/M$64*N41)</f>
        <v>0</v>
      </c>
      <c r="P41" s="35"/>
      <c r="Q41" s="87">
        <f>IF($A41=Q$58,Q$53-SUM(Q$11:Q40), 0)</f>
        <v>0</v>
      </c>
      <c r="R41" s="8" t="str">
        <f t="shared" si="129"/>
        <v xml:space="preserve">   </v>
      </c>
      <c r="S41" s="87">
        <f>IF($A41&gt;Q$58, 0, SUM(Q41:Q$47)*R41*Q$63/Q$64+SUM(Q42:Q$47)*(Q$64-Q$63)/Q$64*R41)</f>
        <v>0</v>
      </c>
      <c r="T41" s="35"/>
      <c r="U41" s="35">
        <f t="shared" si="130"/>
        <v>0</v>
      </c>
      <c r="V41" s="35">
        <f t="shared" si="131"/>
        <v>0</v>
      </c>
      <c r="W41" s="35"/>
      <c r="X41" s="87">
        <f>IF($A41=X$58,X$53-SUM(X$11:X40), 0)</f>
        <v>0</v>
      </c>
      <c r="Y41" s="8" t="str">
        <f t="shared" si="132"/>
        <v xml:space="preserve">   </v>
      </c>
      <c r="Z41" s="87">
        <f>IF($A41&gt;X$58, 0, SUM(X41:X$47)*Y41*X$63/X$64+SUM(X42:X$47)*(X$64-X$63)/X$64*Y41)</f>
        <v>0</v>
      </c>
      <c r="AA41" s="87"/>
      <c r="AB41" s="87">
        <f>IF($A41=AB$58,AB$53-SUM(AB$11:AB40), 0)</f>
        <v>0</v>
      </c>
      <c r="AC41" s="8" t="str">
        <f t="shared" si="133"/>
        <v xml:space="preserve">   </v>
      </c>
      <c r="AD41" s="87">
        <f>IF($A41&gt;AB$58, 0, SUM(AB41:AB$47)*AC41*AB$63/AB$64+SUM(AB42:AB$47)*(AB$64-AB$63)/AB$64*AC41)</f>
        <v>0</v>
      </c>
      <c r="AE41" s="35"/>
      <c r="AF41" s="87">
        <f>IF($A41=AF$58,AF$53-SUM(AF$11:AF40), 0)</f>
        <v>0</v>
      </c>
      <c r="AG41" s="8" t="str">
        <f t="shared" si="134"/>
        <v xml:space="preserve">   </v>
      </c>
      <c r="AH41" s="87">
        <f>IF($A41&gt;AF$58, 0, SUM(AF41:AF$47)*AG41*AF$63/AF$64+SUM(AF42:AF$47)*(AF$64-AF$63)/AF$64*AG41)</f>
        <v>0</v>
      </c>
      <c r="AI41" s="35"/>
      <c r="AJ41" s="87">
        <f>IF($A41=AJ$58,AJ$53-SUM(AJ$11:AJ40), 0)</f>
        <v>0</v>
      </c>
      <c r="AK41" s="77" t="str">
        <f t="shared" si="135"/>
        <v xml:space="preserve">   </v>
      </c>
      <c r="AL41" s="87">
        <f>IF($A41&gt;AJ$58, 0, SUM(AJ41:AJ$47)*AK41*AJ$63/AJ$64+SUM(AJ42:AJ$47)*(AJ$64-AJ$63)/AJ$64*AK41)</f>
        <v>0</v>
      </c>
      <c r="AM41" s="35"/>
      <c r="AN41" s="87">
        <f>IF($A41='Debt Service'!AN$58, 'Debt Service'!AN$53-SUM(AN$11:AN40), 0)</f>
        <v>0</v>
      </c>
      <c r="AO41" s="77" t="str">
        <f t="shared" si="136"/>
        <v xml:space="preserve">   </v>
      </c>
      <c r="AP41" s="87">
        <f>IF($A41&gt;'Debt Service'!AN$58, 0, SUM(AN41:AN$47)*AO41*AN$63/AN$64+SUM(AN42:AN$47)*(AN$64-AN$63)/AN$64*AO41)</f>
        <v>0</v>
      </c>
      <c r="AQ41" s="35"/>
      <c r="AR41" s="87">
        <f>IF($A41=AR$58,AR$53-SUM(AR$11:AR40), 0)</f>
        <v>0</v>
      </c>
      <c r="AS41" s="77" t="str">
        <f t="shared" si="137"/>
        <v xml:space="preserve">   </v>
      </c>
      <c r="AT41" s="87">
        <f>IF($A41&gt;AR$58, 0, SUM(AR41:AR$47)*AS41*AR$63/AR$64+SUM(AR42:AR$47)*(AR$64-AR$63)/AR$64*AS41)</f>
        <v>0</v>
      </c>
      <c r="AV41" s="35">
        <f t="shared" si="138"/>
        <v>0</v>
      </c>
      <c r="AW41" s="35">
        <f t="shared" si="139"/>
        <v>0</v>
      </c>
      <c r="AX41" s="35"/>
      <c r="AY41" s="87">
        <f>IF($A41=AY$58,AY$53-SUM(AY$11:AY40), 0)</f>
        <v>0</v>
      </c>
      <c r="AZ41" s="8" t="str">
        <f t="shared" si="140"/>
        <v xml:space="preserve">   </v>
      </c>
      <c r="BA41" s="87">
        <f>IF($A41&gt;AY$58, 0, SUM(AY41:AY$47)*AZ41*AY$63/AY$64+SUM(AY42:AY$47)*(AY$64-AY$63)/AY$64*AZ41)</f>
        <v>0</v>
      </c>
      <c r="BB41" s="61"/>
      <c r="BC41" s="87">
        <f>IF($A41=BC$58,BC$53-SUM(BC$11:BC40), 0)</f>
        <v>0</v>
      </c>
      <c r="BD41" s="77" t="str">
        <f t="shared" si="141"/>
        <v xml:space="preserve">   </v>
      </c>
      <c r="BE41" s="87">
        <f>IF($A41&gt;BC$58, 0, SUM(BC41:BC$47)*BD41*BC$63/BC$64+SUM(BC42:BC$47)*(BC$64-BC$63)/BC$64*BD41)</f>
        <v>0</v>
      </c>
      <c r="BF41" s="61"/>
      <c r="BG41" s="87">
        <f>IF($A41=BG$58,BG$53-SUM(BG$11:BG40), 0)</f>
        <v>0</v>
      </c>
      <c r="BH41" s="77" t="str">
        <f t="shared" si="142"/>
        <v xml:space="preserve">   </v>
      </c>
      <c r="BI41" s="87">
        <f>IF($A41&gt;BG$58, 0, SUM(BG41:BG$47)*BH41*BG$63/BG$64+SUM(BG42:BG$47)*(BG$64-BG$63)/BG$64*BH41)</f>
        <v>0</v>
      </c>
      <c r="BJ41" s="61"/>
      <c r="BK41" s="35">
        <f t="shared" si="167"/>
        <v>0</v>
      </c>
      <c r="BL41" s="35">
        <f t="shared" si="168"/>
        <v>0</v>
      </c>
      <c r="BM41" s="8"/>
      <c r="BN41" s="87">
        <f>IF($A41=BN$58,BN$53-SUM(BN$11:BN40), 0)</f>
        <v>0</v>
      </c>
      <c r="BO41" s="8" t="str">
        <f t="shared" si="143"/>
        <v xml:space="preserve">   </v>
      </c>
      <c r="BP41" s="87">
        <f>IF($A41&gt;BN$58, 0, SUM(BN41:BN$47)*BO41*BN$63/BN$64+SUM(BN42:BN$47)*(BN$64-BN$63)/BN$64*BO41)</f>
        <v>0</v>
      </c>
      <c r="BQ41" s="77"/>
      <c r="BR41" s="87">
        <f>IF($A41=BR$58,BR$53-SUM(BR$11:BR40), 0)</f>
        <v>0</v>
      </c>
      <c r="BS41" s="77">
        <f t="shared" si="144"/>
        <v>3.8800000000000008E-2</v>
      </c>
      <c r="BT41" s="87">
        <f>IF($A41&gt;BR$58, 0, SUM(BR41:BR$47)*BS41*BR$63/BR$64+SUM(BR42:BR$47)*(BR$64-BR$63)/BR$64*BS41)</f>
        <v>2910000.0000000005</v>
      </c>
      <c r="BU41" s="87"/>
      <c r="BV41" s="35">
        <f t="shared" si="169"/>
        <v>0</v>
      </c>
      <c r="BW41" s="35">
        <f t="shared" si="170"/>
        <v>2910000.0000000005</v>
      </c>
      <c r="BX41" s="87"/>
      <c r="BY41" s="87">
        <f>IF($A41='Debt Service'!BY$58, 'Debt Service'!BY$53-SUM(BY$11:BY40), 0)</f>
        <v>0</v>
      </c>
      <c r="BZ41" s="8" t="str">
        <f>IF($A41&gt;'Debt Service'!BY$58, "   ",'Debt Service'!BY$54)</f>
        <v xml:space="preserve">   </v>
      </c>
      <c r="CA41" s="87"/>
      <c r="CB41" s="87"/>
      <c r="CC41" s="87">
        <f>IF($A41='Debt Service'!CC$58, 'Debt Service'!CC$53-SUM(CC$11:CC40), 0)</f>
        <v>0</v>
      </c>
      <c r="CD41" s="77" t="str">
        <f t="shared" si="146"/>
        <v xml:space="preserve">   </v>
      </c>
      <c r="CE41" s="87">
        <f>IF(OR($A41&gt;'Debt Service'!CC$58, $A41&lt;CC$51), 0, SUM(CC41:CC$47)*CD41*CC$63/CC$64+SUM(CC42:CC$47)*(CC$64-CC$63)/CC$64*CD41)</f>
        <v>0</v>
      </c>
      <c r="CF41" s="87"/>
      <c r="CG41" s="87">
        <f>IF($A41=CG$58,CG$53-SUM(CG$11:CG40), 0)</f>
        <v>0</v>
      </c>
      <c r="CH41" s="77">
        <f t="shared" si="147"/>
        <v>3.9000000000000007E-2</v>
      </c>
      <c r="CI41" s="87">
        <f>IF($A41&gt;CG$58, 0, SUM(CG41:CG$47)*CH41*CG$63/CG$64+SUM(CG42:CG$47)*(CG$64-CG$63)/CG$64*CH41)</f>
        <v>2925000.0000000005</v>
      </c>
      <c r="CJ41" s="87"/>
      <c r="CK41" s="87">
        <f>IF($A41=CK$58,CK$53-SUM(CK$11:CK40), 0)</f>
        <v>0</v>
      </c>
      <c r="CL41" s="77">
        <f t="shared" si="148"/>
        <v>4.0410000000000001E-2</v>
      </c>
      <c r="CM41" s="87">
        <f>IF($A41&gt;CK$58, 0, SUM(CK41:CK$47)*CL41*CK$63/CK$64+SUM(CK42:CK$47)*(CK$64-CK$63)/CK$64*CL41)</f>
        <v>3030750</v>
      </c>
      <c r="CN41" s="87"/>
      <c r="CO41" s="162">
        <f t="shared" si="149"/>
        <v>0</v>
      </c>
      <c r="CP41" s="87">
        <f t="shared" si="150"/>
        <v>5955750</v>
      </c>
      <c r="CQ41" s="87"/>
      <c r="CR41" s="87">
        <f>IF($A41='Debt Service'!CR$58, 'Debt Service'!CR$53-SUM(CR$11:CR40), 0)</f>
        <v>0</v>
      </c>
      <c r="CS41" s="77" t="str">
        <f t="shared" si="151"/>
        <v xml:space="preserve">   </v>
      </c>
      <c r="CT41" s="87">
        <f>IF($A41&gt;'Debt Service'!CR$58, 0, SUM(CR41:CR$47)*CS41*CR$63/CR$64+SUM(CR42:CR$47)*(CR$64-CR$63)/CR$64*CS41)</f>
        <v>0</v>
      </c>
      <c r="CU41" s="87"/>
      <c r="CV41" s="87">
        <f>IF($A41=CV$58,CV$53-SUM(CV$11:CV40), 0)</f>
        <v>0</v>
      </c>
      <c r="CW41" s="77" t="str">
        <f t="shared" si="152"/>
        <v xml:space="preserve">   </v>
      </c>
      <c r="CX41" s="87">
        <f>IF($A41&gt;CV$58, 0, SUM(CV41:CV$47)*CW41*CV$63/CV$64+SUM(CV42:CV$47)*(CV$64-CV$63)/CV$64*CW41)</f>
        <v>0</v>
      </c>
      <c r="CY41" s="87"/>
      <c r="CZ41" s="165">
        <f t="shared" si="153"/>
        <v>0</v>
      </c>
      <c r="DA41" s="165">
        <f t="shared" si="154"/>
        <v>0</v>
      </c>
      <c r="DB41" s="165"/>
      <c r="DC41" s="87">
        <f t="shared" si="155"/>
        <v>0</v>
      </c>
      <c r="DD41" s="77" t="str">
        <f t="shared" si="156"/>
        <v>---</v>
      </c>
      <c r="DE41" s="87">
        <f t="shared" si="174"/>
        <v>0</v>
      </c>
      <c r="DF41" s="165"/>
      <c r="DG41" s="87">
        <f>IF($A41=DG$58,DG$53-SUM(DG$11:DG40), 0)</f>
        <v>0</v>
      </c>
      <c r="DH41" s="77" t="str">
        <f t="shared" si="158"/>
        <v xml:space="preserve">   </v>
      </c>
      <c r="DI41" s="87">
        <f>IF(OR($A41&gt;DG$58,$A41&lt;DG$51), 0, SUM(DG41:DG$47)*DH41*DG$63/DG$64+SUM(DG42:DG$47)*(DG$64-DG$63)/DG$64*DH41)</f>
        <v>0</v>
      </c>
      <c r="DJ41" s="87"/>
      <c r="DK41" s="87">
        <f>IF($A41=DK$58,DK$53-SUM(DK$11:DK40), 0)</f>
        <v>0</v>
      </c>
      <c r="DL41" s="77" t="str">
        <f t="shared" si="159"/>
        <v xml:space="preserve">   </v>
      </c>
      <c r="DM41" s="87">
        <f>IF(OR($A41&gt;DK$58,$A41&lt;DK$51), 0, SUM(DK41:DK$47)*DL41*DK$63/DK$64+SUM(DK42:DK$47)*(DK$64-DK$63)/DK$64*DL41)</f>
        <v>0</v>
      </c>
      <c r="DN41" s="87"/>
      <c r="DO41" s="87">
        <f>IF($A41=DO$58,DO$53-SUM(DO$11:DO40), 0)</f>
        <v>0</v>
      </c>
      <c r="DP41" s="77" t="str">
        <f t="shared" si="160"/>
        <v xml:space="preserve">   </v>
      </c>
      <c r="DQ41" s="87">
        <f>IF(OR($A41&gt;DO$58,$A41&lt;DO$51), 0, SUM(DO41:DO$47)*DP41*DO$63/DO$64+SUM(DO42:DO$47)*(DO$64-DO$63)/DO$64*DP41)</f>
        <v>0</v>
      </c>
      <c r="DR41" s="165"/>
      <c r="DS41" s="87">
        <f>IF($A41=DS$58,DS$53-SUM(DS$11:DS40), 0)</f>
        <v>0</v>
      </c>
      <c r="DT41" s="77" t="str">
        <f t="shared" si="161"/>
        <v xml:space="preserve">   </v>
      </c>
      <c r="DU41" s="87">
        <f>IF(OR($A41&gt;DS$58,$A41&lt;DS$51), 0, SUM(DS41:DS$47)*DT41*DS$63/DS$64+SUM(DS42:DS$47)*(DS$64-DS$63)/DS$64*DT41)</f>
        <v>0</v>
      </c>
      <c r="DV41" s="165"/>
      <c r="DW41" s="165">
        <f t="shared" si="171"/>
        <v>0</v>
      </c>
      <c r="DX41" s="165">
        <f t="shared" si="172"/>
        <v>8865750</v>
      </c>
      <c r="DY41" s="87"/>
      <c r="DZ41" s="53">
        <f t="shared" si="162"/>
        <v>2054</v>
      </c>
      <c r="EA41" s="35">
        <f t="shared" si="163"/>
        <v>0</v>
      </c>
      <c r="EB41" s="35">
        <f t="shared" si="164"/>
        <v>8865750</v>
      </c>
      <c r="EC41" s="35">
        <f t="shared" si="175"/>
        <v>8865750</v>
      </c>
      <c r="ED41" s="171">
        <f t="shared" si="173"/>
        <v>31</v>
      </c>
      <c r="EE41" s="61">
        <f>EA$53-SUM(EA$10:EA41)</f>
        <v>225000000</v>
      </c>
    </row>
    <row r="42" spans="1:135" s="33" customFormat="1" outlineLevel="1">
      <c r="A42" s="7">
        <f t="shared" si="166"/>
        <v>2055</v>
      </c>
      <c r="B42" s="151">
        <f>Assumptions!B39</f>
        <v>5.3800000000000001E-2</v>
      </c>
      <c r="C42" s="151">
        <f>Assumptions!C39</f>
        <v>5.3800000000000001E-2</v>
      </c>
      <c r="D42" s="151">
        <f>Assumptions!D39</f>
        <v>3.5000000000000003E-2</v>
      </c>
      <c r="E42" s="151">
        <f>Assumptions!E39</f>
        <v>5.2999999999999999E-2</v>
      </c>
      <c r="F42" s="151">
        <f>Assumptions!F39</f>
        <v>0</v>
      </c>
      <c r="G42" s="151">
        <f>Assumptions!G39</f>
        <v>3.0000000000000001E-3</v>
      </c>
      <c r="H42" s="151">
        <f>Assumptions!H39</f>
        <v>8.0000000000000004E-4</v>
      </c>
      <c r="I42" s="151"/>
      <c r="J42" s="151"/>
      <c r="K42" s="151"/>
      <c r="L42" s="8"/>
      <c r="M42" s="87">
        <f>IF($A42=M$58,M$53-SUM(M$11:M41), 0)</f>
        <v>0</v>
      </c>
      <c r="N42" s="8" t="str">
        <f t="shared" si="128"/>
        <v xml:space="preserve">   </v>
      </c>
      <c r="O42" s="87">
        <f>IF($A42&gt;M$58, 0, SUM(M42:M$47)*N42*M$63/M$64+SUM(M43:M$47)*(M$64-M$63)/M$64*N42)</f>
        <v>0</v>
      </c>
      <c r="P42" s="35"/>
      <c r="Q42" s="87">
        <f>IF($A42=Q$58,Q$53-SUM(Q$11:Q41), 0)</f>
        <v>0</v>
      </c>
      <c r="R42" s="8" t="str">
        <f t="shared" si="129"/>
        <v xml:space="preserve">   </v>
      </c>
      <c r="S42" s="87">
        <f>IF($A42&gt;Q$58, 0, SUM(Q42:Q$47)*R42*Q$63/Q$64+SUM(Q43:Q$47)*(Q$64-Q$63)/Q$64*R42)</f>
        <v>0</v>
      </c>
      <c r="T42" s="35"/>
      <c r="U42" s="35">
        <f t="shared" si="130"/>
        <v>0</v>
      </c>
      <c r="V42" s="35">
        <f t="shared" si="131"/>
        <v>0</v>
      </c>
      <c r="W42" s="35"/>
      <c r="X42" s="87">
        <f>IF($A42=X$58,X$53-SUM(X$11:X41), 0)</f>
        <v>0</v>
      </c>
      <c r="Y42" s="8" t="str">
        <f t="shared" si="132"/>
        <v xml:space="preserve">   </v>
      </c>
      <c r="Z42" s="87">
        <f>IF($A42&gt;X$58, 0, SUM(X42:X$47)*Y42*X$63/X$64+SUM(X43:X$47)*(X$64-X$63)/X$64*Y42)</f>
        <v>0</v>
      </c>
      <c r="AA42" s="87"/>
      <c r="AB42" s="87">
        <f>IF($A42=AB$58,AB$53-SUM(AB$11:AB41), 0)</f>
        <v>0</v>
      </c>
      <c r="AC42" s="8" t="str">
        <f t="shared" si="133"/>
        <v xml:space="preserve">   </v>
      </c>
      <c r="AD42" s="87">
        <f>IF($A42&gt;AB$58, 0, SUM(AB42:AB$47)*AC42*AB$63/AB$64+SUM(AB43:AB$47)*(AB$64-AB$63)/AB$64*AC42)</f>
        <v>0</v>
      </c>
      <c r="AE42" s="35"/>
      <c r="AF42" s="87">
        <f>IF($A42=AF$58,AF$53-SUM(AF$11:AF41), 0)</f>
        <v>0</v>
      </c>
      <c r="AG42" s="8" t="str">
        <f t="shared" si="134"/>
        <v xml:space="preserve">   </v>
      </c>
      <c r="AH42" s="87">
        <f>IF($A42&gt;AF$58, 0, SUM(AF42:AF$47)*AG42*AF$63/AF$64+SUM(AF43:AF$47)*(AF$64-AF$63)/AF$64*AG42)</f>
        <v>0</v>
      </c>
      <c r="AI42" s="35"/>
      <c r="AJ42" s="87">
        <f>IF($A42=AJ$58,AJ$53-SUM(AJ$11:AJ41), 0)</f>
        <v>0</v>
      </c>
      <c r="AK42" s="77" t="str">
        <f t="shared" si="135"/>
        <v xml:space="preserve">   </v>
      </c>
      <c r="AL42" s="87">
        <f>IF($A42&gt;AJ$58, 0, SUM(AJ42:AJ$47)*AK42*AJ$63/AJ$64+SUM(AJ43:AJ$47)*(AJ$64-AJ$63)/AJ$64*AK42)</f>
        <v>0</v>
      </c>
      <c r="AM42" s="35"/>
      <c r="AN42" s="87">
        <f>IF($A42='Debt Service'!AN$58, 'Debt Service'!AN$53-SUM(AN$11:AN41), 0)</f>
        <v>0</v>
      </c>
      <c r="AO42" s="77" t="str">
        <f t="shared" si="136"/>
        <v xml:space="preserve">   </v>
      </c>
      <c r="AP42" s="87">
        <f>IF($A42&gt;'Debt Service'!AN$58, 0, SUM(AN42:AN$47)*AO42*AN$63/AN$64+SUM(AN43:AN$47)*(AN$64-AN$63)/AN$64*AO42)</f>
        <v>0</v>
      </c>
      <c r="AQ42" s="35"/>
      <c r="AR42" s="87">
        <f>IF($A42=AR$58,AR$53-SUM(AR$11:AR41), 0)</f>
        <v>0</v>
      </c>
      <c r="AS42" s="77" t="str">
        <f t="shared" si="137"/>
        <v xml:space="preserve">   </v>
      </c>
      <c r="AT42" s="87">
        <f>IF($A42&gt;AR$58, 0, SUM(AR42:AR$47)*AS42*AR$63/AR$64+SUM(AR43:AR$47)*(AR$64-AR$63)/AR$64*AS42)</f>
        <v>0</v>
      </c>
      <c r="AV42" s="35">
        <f t="shared" si="138"/>
        <v>0</v>
      </c>
      <c r="AW42" s="35">
        <f t="shared" si="139"/>
        <v>0</v>
      </c>
      <c r="AX42" s="35"/>
      <c r="AY42" s="87">
        <f>IF($A42=AY$58,AY$53-SUM(AY$11:AY41), 0)</f>
        <v>0</v>
      </c>
      <c r="AZ42" s="8" t="str">
        <f t="shared" si="140"/>
        <v xml:space="preserve">   </v>
      </c>
      <c r="BA42" s="87">
        <f>IF($A42&gt;AY$58, 0, SUM(AY42:AY$47)*AZ42*AY$63/AY$64+SUM(AY43:AY$47)*(AY$64-AY$63)/AY$64*AZ42)</f>
        <v>0</v>
      </c>
      <c r="BB42" s="61"/>
      <c r="BC42" s="87">
        <f>IF($A42=BC$58,BC$53-SUM(BC$11:BC41), 0)</f>
        <v>0</v>
      </c>
      <c r="BD42" s="77" t="str">
        <f t="shared" si="141"/>
        <v xml:space="preserve">   </v>
      </c>
      <c r="BE42" s="87">
        <f>IF($A42&gt;BC$58, 0, SUM(BC42:BC$47)*BD42*BC$63/BC$64+SUM(BC43:BC$47)*(BC$64-BC$63)/BC$64*BD42)</f>
        <v>0</v>
      </c>
      <c r="BF42" s="61"/>
      <c r="BG42" s="87">
        <f>IF($A42=BG$58,BG$53-SUM(BG$11:BG41), 0)</f>
        <v>0</v>
      </c>
      <c r="BH42" s="77" t="str">
        <f t="shared" si="142"/>
        <v xml:space="preserve">   </v>
      </c>
      <c r="BI42" s="87">
        <f>IF($A42&gt;BG$58, 0, SUM(BG42:BG$47)*BH42*BG$63/BG$64+SUM(BG43:BG$47)*(BG$64-BG$63)/BG$64*BH42)</f>
        <v>0</v>
      </c>
      <c r="BJ42" s="61"/>
      <c r="BK42" s="35">
        <f t="shared" si="167"/>
        <v>0</v>
      </c>
      <c r="BL42" s="35">
        <f t="shared" si="168"/>
        <v>0</v>
      </c>
      <c r="BM42" s="8"/>
      <c r="BN42" s="87">
        <f>IF($A42=BN$58,BN$53-SUM(BN$11:BN41), 0)</f>
        <v>0</v>
      </c>
      <c r="BO42" s="8" t="str">
        <f t="shared" si="143"/>
        <v xml:space="preserve">   </v>
      </c>
      <c r="BP42" s="87">
        <f>IF($A42&gt;BN$58, 0, SUM(BN42:BN$47)*BO42*BN$63/BN$64+SUM(BN43:BN$47)*(BN$64-BN$63)/BN$64*BO42)</f>
        <v>0</v>
      </c>
      <c r="BQ42" s="77"/>
      <c r="BR42" s="87">
        <f>IF($A42=BR$58,BR$53-SUM(BR$11:BR41), 0)</f>
        <v>75000000</v>
      </c>
      <c r="BS42" s="77">
        <f t="shared" si="144"/>
        <v>3.8800000000000008E-2</v>
      </c>
      <c r="BT42" s="87">
        <f>IF($A42&gt;BR$58, 0, SUM(BR42:BR$47)*BS42*BR$63/BR$64+SUM(BR43:BR$47)*(BR$64-BR$63)/BR$64*BS42)</f>
        <v>2667500.0000000005</v>
      </c>
      <c r="BU42" s="87"/>
      <c r="BV42" s="35">
        <f t="shared" si="169"/>
        <v>75000000</v>
      </c>
      <c r="BW42" s="35">
        <f t="shared" si="170"/>
        <v>2667500.0000000005</v>
      </c>
      <c r="BX42" s="87"/>
      <c r="BY42" s="87">
        <f>IF($A42='Debt Service'!BY$58, 'Debt Service'!BY$53-SUM(BY$11:BY41), 0)</f>
        <v>0</v>
      </c>
      <c r="BZ42" s="8" t="str">
        <f>IF($A42&gt;'Debt Service'!BY$58, "   ",'Debt Service'!BY$54)</f>
        <v xml:space="preserve">   </v>
      </c>
      <c r="CA42" s="87"/>
      <c r="CB42" s="87"/>
      <c r="CC42" s="87">
        <f>IF($A42='Debt Service'!CC$58, 'Debt Service'!CC$53-SUM(CC$11:CC41), 0)</f>
        <v>0</v>
      </c>
      <c r="CD42" s="77" t="str">
        <f t="shared" si="146"/>
        <v xml:space="preserve">   </v>
      </c>
      <c r="CE42" s="87">
        <f>IF(OR($A42&gt;'Debt Service'!CC$58, $A42&lt;CC$51), 0, SUM(CC42:CC$47)*CD42*CC$63/CC$64+SUM(CC43:CC$47)*(CC$64-CC$63)/CC$64*CD42)</f>
        <v>0</v>
      </c>
      <c r="CF42" s="87"/>
      <c r="CG42" s="87">
        <f>IF($A42=CG$58,CG$53-SUM(CG$11:CG41), 0)</f>
        <v>0</v>
      </c>
      <c r="CH42" s="77">
        <f t="shared" si="147"/>
        <v>3.9000000000000007E-2</v>
      </c>
      <c r="CI42" s="87">
        <f>IF($A42&gt;CG$58, 0, SUM(CG42:CG$47)*CH42*CG$63/CG$64+SUM(CG43:CG$47)*(CG$64-CG$63)/CG$64*CH42)</f>
        <v>2925000.0000000005</v>
      </c>
      <c r="CJ42" s="87"/>
      <c r="CK42" s="87">
        <f>IF($A42=CK$58,CK$53-SUM(CK$11:CK41), 0)</f>
        <v>0</v>
      </c>
      <c r="CL42" s="77">
        <f t="shared" si="148"/>
        <v>4.0410000000000001E-2</v>
      </c>
      <c r="CM42" s="87">
        <f>IF($A42&gt;CK$58, 0, SUM(CK42:CK$47)*CL42*CK$63/CK$64+SUM(CK43:CK$47)*(CK$64-CK$63)/CK$64*CL42)</f>
        <v>3030750</v>
      </c>
      <c r="CN42" s="87"/>
      <c r="CO42" s="162">
        <f t="shared" si="149"/>
        <v>0</v>
      </c>
      <c r="CP42" s="87">
        <f t="shared" si="150"/>
        <v>5955750</v>
      </c>
      <c r="CQ42" s="87"/>
      <c r="CR42" s="87">
        <f>IF($A42='Debt Service'!CR$58, 'Debt Service'!CR$53-SUM(CR$11:CR41), 0)</f>
        <v>0</v>
      </c>
      <c r="CS42" s="77" t="str">
        <f t="shared" si="151"/>
        <v xml:space="preserve">   </v>
      </c>
      <c r="CT42" s="87">
        <f>IF($A42&gt;'Debt Service'!CR$58, 0, SUM(CR42:CR$47)*CS42*CR$63/CR$64+SUM(CR43:CR$47)*(CR$64-CR$63)/CR$64*CS42)</f>
        <v>0</v>
      </c>
      <c r="CU42" s="87"/>
      <c r="CV42" s="87">
        <f>IF($A42=CV$58,CV$53-SUM(CV$11:CV41), 0)</f>
        <v>0</v>
      </c>
      <c r="CW42" s="77" t="str">
        <f t="shared" si="152"/>
        <v xml:space="preserve">   </v>
      </c>
      <c r="CX42" s="87">
        <f>IF($A42&gt;CV$58, 0, SUM(CV42:CV$47)*CW42*CV$63/CV$64+SUM(CV43:CV$47)*(CV$64-CV$63)/CV$64*CW42)</f>
        <v>0</v>
      </c>
      <c r="CY42" s="87"/>
      <c r="CZ42" s="165">
        <f t="shared" si="153"/>
        <v>0</v>
      </c>
      <c r="DA42" s="165">
        <f t="shared" si="154"/>
        <v>0</v>
      </c>
      <c r="DB42" s="165"/>
      <c r="DC42" s="87">
        <f t="shared" si="155"/>
        <v>0</v>
      </c>
      <c r="DD42" s="77" t="str">
        <f t="shared" si="156"/>
        <v>---</v>
      </c>
      <c r="DE42" s="87">
        <f t="shared" si="174"/>
        <v>0</v>
      </c>
      <c r="DF42" s="165"/>
      <c r="DG42" s="87">
        <f>IF($A42=DG$58,DG$53-SUM(DG$11:DG41), 0)</f>
        <v>0</v>
      </c>
      <c r="DH42" s="77" t="str">
        <f t="shared" si="158"/>
        <v xml:space="preserve">   </v>
      </c>
      <c r="DI42" s="87">
        <f>IF(OR($A42&gt;DG$58,$A42&lt;DG$51), 0, SUM(DG42:DG$47)*DH42*DG$63/DG$64+SUM(DG43:DG$47)*(DG$64-DG$63)/DG$64*DH42)</f>
        <v>0</v>
      </c>
      <c r="DJ42" s="87"/>
      <c r="DK42" s="87">
        <f>IF($A42=DK$58,DK$53-SUM(DK$11:DK41), 0)</f>
        <v>0</v>
      </c>
      <c r="DL42" s="77" t="str">
        <f t="shared" si="159"/>
        <v xml:space="preserve">   </v>
      </c>
      <c r="DM42" s="87">
        <f>IF(OR($A42&gt;DK$58,$A42&lt;DK$51), 0, SUM(DK42:DK$47)*DL42*DK$63/DK$64+SUM(DK43:DK$47)*(DK$64-DK$63)/DK$64*DL42)</f>
        <v>0</v>
      </c>
      <c r="DN42" s="87"/>
      <c r="DO42" s="87">
        <f>IF($A42=DO$58,DO$53-SUM(DO$11:DO41), 0)</f>
        <v>0</v>
      </c>
      <c r="DP42" s="77" t="str">
        <f t="shared" si="160"/>
        <v xml:space="preserve">   </v>
      </c>
      <c r="DQ42" s="87">
        <f>IF(OR($A42&gt;DO$58,$A42&lt;DO$51), 0, SUM(DO42:DO$47)*DP42*DO$63/DO$64+SUM(DO43:DO$47)*(DO$64-DO$63)/DO$64*DP42)</f>
        <v>0</v>
      </c>
      <c r="DR42" s="165"/>
      <c r="DS42" s="87">
        <f>IF($A42=DS$58,DS$53-SUM(DS$11:DS41), 0)</f>
        <v>0</v>
      </c>
      <c r="DT42" s="77" t="str">
        <f t="shared" si="161"/>
        <v xml:space="preserve">   </v>
      </c>
      <c r="DU42" s="87">
        <f>IF(OR($A42&gt;DS$58,$A42&lt;DS$51), 0, SUM(DS42:DS$47)*DT42*DS$63/DS$64+SUM(DS43:DS$47)*(DS$64-DS$63)/DS$64*DT42)</f>
        <v>0</v>
      </c>
      <c r="DV42" s="165"/>
      <c r="DW42" s="165">
        <f t="shared" si="171"/>
        <v>75000000</v>
      </c>
      <c r="DX42" s="165">
        <f t="shared" si="172"/>
        <v>8623250</v>
      </c>
      <c r="DY42" s="87"/>
      <c r="DZ42" s="53">
        <f t="shared" si="162"/>
        <v>2055</v>
      </c>
      <c r="EA42" s="35">
        <f t="shared" si="163"/>
        <v>75000000</v>
      </c>
      <c r="EB42" s="35">
        <f t="shared" si="164"/>
        <v>8623250</v>
      </c>
      <c r="EC42" s="35">
        <f t="shared" si="175"/>
        <v>83623250</v>
      </c>
      <c r="ED42" s="171">
        <f t="shared" si="173"/>
        <v>32</v>
      </c>
      <c r="EE42" s="61">
        <f>EA$53-SUM(EA$10:EA42)</f>
        <v>150000000</v>
      </c>
    </row>
    <row r="43" spans="1:135" s="33" customFormat="1" outlineLevel="1">
      <c r="A43" s="7">
        <f t="shared" si="166"/>
        <v>2056</v>
      </c>
      <c r="B43" s="151">
        <f>Assumptions!B40</f>
        <v>5.3800000000000001E-2</v>
      </c>
      <c r="C43" s="151">
        <f>Assumptions!C40</f>
        <v>5.3800000000000001E-2</v>
      </c>
      <c r="D43" s="151">
        <f>Assumptions!D40</f>
        <v>3.5000000000000003E-2</v>
      </c>
      <c r="E43" s="151">
        <f>Assumptions!E40</f>
        <v>5.2999999999999999E-2</v>
      </c>
      <c r="F43" s="151">
        <f>Assumptions!F40</f>
        <v>0</v>
      </c>
      <c r="G43" s="151">
        <f>Assumptions!G40</f>
        <v>3.0000000000000001E-3</v>
      </c>
      <c r="H43" s="151">
        <f>Assumptions!H40</f>
        <v>8.0000000000000004E-4</v>
      </c>
      <c r="I43" s="151"/>
      <c r="J43" s="151"/>
      <c r="K43" s="151"/>
      <c r="L43" s="8"/>
      <c r="M43" s="87">
        <f>IF($A43=M$58,M$53-SUM(M$11:M42), 0)</f>
        <v>0</v>
      </c>
      <c r="N43" s="8" t="str">
        <f t="shared" si="128"/>
        <v xml:space="preserve">   </v>
      </c>
      <c r="O43" s="87">
        <f>IF($A43&gt;M$58, 0, SUM(M43:M$47)*N43*M$63/M$64+SUM(M44:M$47)*(M$64-M$63)/M$64*N43)</f>
        <v>0</v>
      </c>
      <c r="P43" s="35"/>
      <c r="Q43" s="87">
        <f>IF($A43=Q$58,Q$53-SUM(Q$11:Q42), 0)</f>
        <v>0</v>
      </c>
      <c r="R43" s="8" t="str">
        <f t="shared" si="129"/>
        <v xml:space="preserve">   </v>
      </c>
      <c r="S43" s="87">
        <f>IF($A43&gt;Q$58, 0, SUM(Q43:Q$47)*R43*Q$63/Q$64+SUM(Q44:Q$47)*(Q$64-Q$63)/Q$64*R43)</f>
        <v>0</v>
      </c>
      <c r="T43" s="35"/>
      <c r="U43" s="35">
        <f t="shared" si="130"/>
        <v>0</v>
      </c>
      <c r="V43" s="35">
        <f t="shared" si="131"/>
        <v>0</v>
      </c>
      <c r="W43" s="35"/>
      <c r="X43" s="87">
        <f>IF($A43=X$58,X$53-SUM(X$11:X42), 0)</f>
        <v>0</v>
      </c>
      <c r="Y43" s="8" t="str">
        <f t="shared" si="132"/>
        <v xml:space="preserve">   </v>
      </c>
      <c r="Z43" s="87">
        <f>IF($A43&gt;X$58, 0, SUM(X43:X$47)*Y43*X$63/X$64+SUM(X44:X$47)*(X$64-X$63)/X$64*Y43)</f>
        <v>0</v>
      </c>
      <c r="AA43" s="87"/>
      <c r="AB43" s="87">
        <f>IF($A43=AB$58,AB$53-SUM(AB$11:AB42), 0)</f>
        <v>0</v>
      </c>
      <c r="AC43" s="8" t="str">
        <f t="shared" si="133"/>
        <v xml:space="preserve">   </v>
      </c>
      <c r="AD43" s="87">
        <f>IF($A43&gt;AB$58, 0, SUM(AB43:AB$47)*AC43*AB$63/AB$64+SUM(AB44:AB$47)*(AB$64-AB$63)/AB$64*AC43)</f>
        <v>0</v>
      </c>
      <c r="AE43" s="35"/>
      <c r="AF43" s="87">
        <f>IF($A43=AF$58,AF$53-SUM(AF$11:AF42), 0)</f>
        <v>0</v>
      </c>
      <c r="AG43" s="8" t="str">
        <f t="shared" si="134"/>
        <v xml:space="preserve">   </v>
      </c>
      <c r="AH43" s="87">
        <f>IF($A43&gt;AF$58, 0, SUM(AF43:AF$47)*AG43*AF$63/AF$64+SUM(AF44:AF$47)*(AF$64-AF$63)/AF$64*AG43)</f>
        <v>0</v>
      </c>
      <c r="AI43" s="35"/>
      <c r="AJ43" s="87">
        <f>IF($A43=AJ$58,AJ$53-SUM(AJ$11:AJ42), 0)</f>
        <v>0</v>
      </c>
      <c r="AK43" s="77" t="str">
        <f t="shared" si="135"/>
        <v xml:space="preserve">   </v>
      </c>
      <c r="AL43" s="87">
        <f>IF($A43&gt;AJ$58, 0, SUM(AJ43:AJ$47)*AK43*AJ$63/AJ$64+SUM(AJ44:AJ$47)*(AJ$64-AJ$63)/AJ$64*AK43)</f>
        <v>0</v>
      </c>
      <c r="AM43" s="35"/>
      <c r="AN43" s="87">
        <f>IF($A43='Debt Service'!AN$58, 'Debt Service'!AN$53-SUM(AN$11:AN42), 0)</f>
        <v>0</v>
      </c>
      <c r="AO43" s="77" t="str">
        <f t="shared" si="136"/>
        <v xml:space="preserve">   </v>
      </c>
      <c r="AP43" s="87">
        <f>IF($A43&gt;'Debt Service'!AN$58, 0, SUM(AN43:AN$47)*AO43*AN$63/AN$64+SUM(AN44:AN$47)*(AN$64-AN$63)/AN$64*AO43)</f>
        <v>0</v>
      </c>
      <c r="AQ43" s="35"/>
      <c r="AR43" s="87">
        <f>IF($A43=AR$58,AR$53-SUM(AR$11:AR42), 0)</f>
        <v>0</v>
      </c>
      <c r="AS43" s="77" t="str">
        <f t="shared" si="137"/>
        <v xml:space="preserve">   </v>
      </c>
      <c r="AT43" s="87">
        <f>IF($A43&gt;AR$58, 0, SUM(AR43:AR$47)*AS43*AR$63/AR$64+SUM(AR44:AR$47)*(AR$64-AR$63)/AR$64*AS43)</f>
        <v>0</v>
      </c>
      <c r="AV43" s="35">
        <f t="shared" si="138"/>
        <v>0</v>
      </c>
      <c r="AW43" s="35">
        <f t="shared" si="139"/>
        <v>0</v>
      </c>
      <c r="AX43" s="35"/>
      <c r="AY43" s="87">
        <f>IF($A43=AY$58,AY$53-SUM(AY$11:AY42), 0)</f>
        <v>0</v>
      </c>
      <c r="AZ43" s="8" t="str">
        <f t="shared" si="140"/>
        <v xml:space="preserve">   </v>
      </c>
      <c r="BA43" s="87">
        <f>IF($A43&gt;AY$58, 0, SUM(AY43:AY$47)*AZ43*AY$63/AY$64+SUM(AY44:AY$47)*(AY$64-AY$63)/AY$64*AZ43)</f>
        <v>0</v>
      </c>
      <c r="BB43" s="61"/>
      <c r="BC43" s="87">
        <f>IF($A43=BC$58,BC$53-SUM(BC$11:BC42), 0)</f>
        <v>0</v>
      </c>
      <c r="BD43" s="77" t="str">
        <f t="shared" si="141"/>
        <v xml:space="preserve">   </v>
      </c>
      <c r="BE43" s="87">
        <f>IF($A43&gt;BC$58, 0, SUM(BC43:BC$47)*BD43*BC$63/BC$64+SUM(BC44:BC$47)*(BC$64-BC$63)/BC$64*BD43)</f>
        <v>0</v>
      </c>
      <c r="BF43" s="61"/>
      <c r="BG43" s="87">
        <f>IF($A43=BG$58,BG$53-SUM(BG$11:BG42), 0)</f>
        <v>0</v>
      </c>
      <c r="BH43" s="77" t="str">
        <f t="shared" si="142"/>
        <v xml:space="preserve">   </v>
      </c>
      <c r="BI43" s="87">
        <f>IF($A43&gt;BG$58, 0, SUM(BG43:BG$47)*BH43*BG$63/BG$64+SUM(BG44:BG$47)*(BG$64-BG$63)/BG$64*BH43)</f>
        <v>0</v>
      </c>
      <c r="BJ43" s="61"/>
      <c r="BK43" s="35">
        <f t="shared" si="167"/>
        <v>0</v>
      </c>
      <c r="BL43" s="35">
        <f t="shared" si="168"/>
        <v>0</v>
      </c>
      <c r="BM43" s="8"/>
      <c r="BN43" s="87">
        <f>IF($A43=BN$58,BN$53-SUM(BN$11:BN42), 0)</f>
        <v>0</v>
      </c>
      <c r="BO43" s="8" t="str">
        <f t="shared" si="143"/>
        <v xml:space="preserve">   </v>
      </c>
      <c r="BP43" s="87">
        <f>IF($A43&gt;BN$58, 0, SUM(BN43:BN$47)*BO43*BN$63/BN$64+SUM(BN44:BN$47)*(BN$64-BN$63)/BN$64*BO43)</f>
        <v>0</v>
      </c>
      <c r="BQ43" s="77"/>
      <c r="BR43" s="87">
        <f>IF($A43=BR$58,BR$53-SUM(BR$11:BR42), 0)</f>
        <v>0</v>
      </c>
      <c r="BS43" s="77" t="str">
        <f t="shared" si="144"/>
        <v xml:space="preserve">   </v>
      </c>
      <c r="BT43" s="87">
        <f>IF($A43&gt;BR$58, 0, SUM(BR43:BR$47)*BS43*BR$63/BR$64+SUM(BR44:BR$47)*(BR$64-BR$63)/BR$64*BS43)</f>
        <v>0</v>
      </c>
      <c r="BU43" s="87"/>
      <c r="BV43" s="35">
        <f t="shared" si="169"/>
        <v>0</v>
      </c>
      <c r="BW43" s="35">
        <f t="shared" si="170"/>
        <v>0</v>
      </c>
      <c r="BX43" s="87"/>
      <c r="BY43" s="87">
        <f>IF($A43='Debt Service'!BY$58, 'Debt Service'!BY$53-SUM(BY$11:BY42), 0)</f>
        <v>0</v>
      </c>
      <c r="BZ43" s="8" t="str">
        <f>IF($A43&gt;'Debt Service'!BY$58, "   ",'Debt Service'!BY$54)</f>
        <v xml:space="preserve">   </v>
      </c>
      <c r="CA43" s="87"/>
      <c r="CB43" s="87"/>
      <c r="CC43" s="87">
        <f>IF($A43='Debt Service'!CC$58, 'Debt Service'!CC$53-SUM(CC$11:CC42), 0)</f>
        <v>0</v>
      </c>
      <c r="CD43" s="77" t="str">
        <f t="shared" si="146"/>
        <v xml:space="preserve">   </v>
      </c>
      <c r="CE43" s="87">
        <f>IF(OR($A43&gt;'Debt Service'!CC$58, $A43&lt;CC$51), 0, SUM(CC43:CC$47)*CD43*CC$63/CC$64+SUM(CC44:CC$47)*(CC$64-CC$63)/CC$64*CD43)</f>
        <v>0</v>
      </c>
      <c r="CF43" s="87"/>
      <c r="CG43" s="87">
        <f>IF($A43=CG$58,CG$53-SUM(CG$11:CG42), 0)</f>
        <v>0</v>
      </c>
      <c r="CH43" s="77">
        <f t="shared" si="147"/>
        <v>3.9000000000000007E-2</v>
      </c>
      <c r="CI43" s="87">
        <f>IF($A43&gt;CG$58, 0, SUM(CG43:CG$47)*CH43*CG$63/CG$64+SUM(CG44:CG$47)*(CG$64-CG$63)/CG$64*CH43)</f>
        <v>2925000.0000000005</v>
      </c>
      <c r="CJ43" s="87"/>
      <c r="CK43" s="87">
        <f>IF($A43=CK$58,CK$53-SUM(CK$11:CK42), 0)</f>
        <v>0</v>
      </c>
      <c r="CL43" s="77">
        <f t="shared" si="148"/>
        <v>4.0410000000000001E-2</v>
      </c>
      <c r="CM43" s="87">
        <f>IF($A43&gt;CK$58, 0, SUM(CK43:CK$47)*CL43*CK$63/CK$64+SUM(CK44:CK$47)*(CK$64-CK$63)/CK$64*CL43)</f>
        <v>3030750</v>
      </c>
      <c r="CN43" s="87"/>
      <c r="CO43" s="162">
        <f t="shared" si="149"/>
        <v>0</v>
      </c>
      <c r="CP43" s="87">
        <f t="shared" si="150"/>
        <v>5955750</v>
      </c>
      <c r="CQ43" s="87"/>
      <c r="CR43" s="87">
        <f>IF($A43='Debt Service'!CR$58, 'Debt Service'!CR$53-SUM(CR$11:CR42), 0)</f>
        <v>0</v>
      </c>
      <c r="CS43" s="77" t="str">
        <f t="shared" si="151"/>
        <v xml:space="preserve">   </v>
      </c>
      <c r="CT43" s="87">
        <f>IF($A43&gt;'Debt Service'!CR$58, 0, SUM(CR43:CR$47)*CS43*CR$63/CR$64+SUM(CR44:CR$47)*(CR$64-CR$63)/CR$64*CS43)</f>
        <v>0</v>
      </c>
      <c r="CU43" s="87"/>
      <c r="CV43" s="87">
        <f>IF($A43=CV$58,CV$53-SUM(CV$11:CV42), 0)</f>
        <v>0</v>
      </c>
      <c r="CW43" s="77" t="str">
        <f t="shared" si="152"/>
        <v xml:space="preserve">   </v>
      </c>
      <c r="CX43" s="87">
        <f>IF($A43&gt;CV$58, 0, SUM(CV43:CV$47)*CW43*CV$63/CV$64+SUM(CV44:CV$47)*(CV$64-CV$63)/CV$64*CW43)</f>
        <v>0</v>
      </c>
      <c r="CY43" s="87"/>
      <c r="CZ43" s="165">
        <f t="shared" si="153"/>
        <v>0</v>
      </c>
      <c r="DA43" s="165">
        <f t="shared" si="154"/>
        <v>0</v>
      </c>
      <c r="DB43" s="165"/>
      <c r="DC43" s="87">
        <f t="shared" si="155"/>
        <v>0</v>
      </c>
      <c r="DD43" s="77" t="str">
        <f t="shared" si="156"/>
        <v>---</v>
      </c>
      <c r="DE43" s="87">
        <f t="shared" si="174"/>
        <v>0</v>
      </c>
      <c r="DF43" s="165"/>
      <c r="DG43" s="87">
        <f>IF($A43=DG$58,DG$53-SUM(DG$11:DG42), 0)</f>
        <v>0</v>
      </c>
      <c r="DH43" s="77" t="str">
        <f t="shared" si="158"/>
        <v xml:space="preserve">   </v>
      </c>
      <c r="DI43" s="87">
        <f>IF(OR($A43&gt;DG$58,$A43&lt;DG$51), 0, SUM(DG43:DG$47)*DH43*DG$63/DG$64+SUM(DG44:DG$47)*(DG$64-DG$63)/DG$64*DH43)</f>
        <v>0</v>
      </c>
      <c r="DJ43" s="87"/>
      <c r="DK43" s="87">
        <f>IF($A43=DK$58,DK$53-SUM(DK$11:DK42), 0)</f>
        <v>0</v>
      </c>
      <c r="DL43" s="77" t="str">
        <f t="shared" si="159"/>
        <v xml:space="preserve">   </v>
      </c>
      <c r="DM43" s="87">
        <f>IF(OR($A43&gt;DK$58,$A43&lt;DK$51), 0, SUM(DK43:DK$47)*DL43*DK$63/DK$64+SUM(DK44:DK$47)*(DK$64-DK$63)/DK$64*DL43)</f>
        <v>0</v>
      </c>
      <c r="DN43" s="87"/>
      <c r="DO43" s="87">
        <f>IF($A43=DO$58,DO$53-SUM(DO$11:DO42), 0)</f>
        <v>0</v>
      </c>
      <c r="DP43" s="77" t="str">
        <f t="shared" si="160"/>
        <v xml:space="preserve">   </v>
      </c>
      <c r="DQ43" s="87">
        <f>IF(OR($A43&gt;DO$58,$A43&lt;DO$51), 0, SUM(DO43:DO$47)*DP43*DO$63/DO$64+SUM(DO44:DO$47)*(DO$64-DO$63)/DO$64*DP43)</f>
        <v>0</v>
      </c>
      <c r="DR43" s="165"/>
      <c r="DS43" s="87">
        <f>IF($A43=DS$58,DS$53-SUM(DS$11:DS42), 0)</f>
        <v>0</v>
      </c>
      <c r="DT43" s="77" t="str">
        <f t="shared" si="161"/>
        <v xml:space="preserve">   </v>
      </c>
      <c r="DU43" s="87">
        <f>IF(OR($A43&gt;DS$58,$A43&lt;DS$51), 0, SUM(DS43:DS$47)*DT43*DS$63/DS$64+SUM(DS44:DS$47)*(DS$64-DS$63)/DS$64*DT43)</f>
        <v>0</v>
      </c>
      <c r="DV43" s="165"/>
      <c r="DW43" s="165">
        <f t="shared" si="171"/>
        <v>0</v>
      </c>
      <c r="DX43" s="165">
        <f t="shared" si="172"/>
        <v>5955750</v>
      </c>
      <c r="DY43" s="87"/>
      <c r="DZ43" s="53">
        <f t="shared" si="162"/>
        <v>2056</v>
      </c>
      <c r="EA43" s="35">
        <f t="shared" si="163"/>
        <v>0</v>
      </c>
      <c r="EB43" s="35">
        <f t="shared" si="164"/>
        <v>5955750</v>
      </c>
      <c r="EC43" s="35">
        <f t="shared" si="175"/>
        <v>5955750</v>
      </c>
      <c r="ED43" s="171">
        <f t="shared" si="173"/>
        <v>33</v>
      </c>
      <c r="EE43" s="61">
        <f>EA$53-SUM(EA$10:EA43)</f>
        <v>150000000</v>
      </c>
    </row>
    <row r="44" spans="1:135" s="33" customFormat="1" outlineLevel="1">
      <c r="A44" s="7">
        <f t="shared" si="166"/>
        <v>2057</v>
      </c>
      <c r="B44" s="151">
        <f>Assumptions!B41</f>
        <v>5.3800000000000001E-2</v>
      </c>
      <c r="C44" s="151">
        <f>Assumptions!C41</f>
        <v>5.3800000000000001E-2</v>
      </c>
      <c r="D44" s="151">
        <f>Assumptions!D41</f>
        <v>3.5000000000000003E-2</v>
      </c>
      <c r="E44" s="151">
        <f>Assumptions!E41</f>
        <v>5.2999999999999999E-2</v>
      </c>
      <c r="F44" s="151">
        <f>Assumptions!F41</f>
        <v>0</v>
      </c>
      <c r="G44" s="151">
        <f>Assumptions!G41</f>
        <v>3.0000000000000001E-3</v>
      </c>
      <c r="H44" s="151">
        <f>Assumptions!H41</f>
        <v>8.0000000000000004E-4</v>
      </c>
      <c r="I44" s="151"/>
      <c r="J44" s="151"/>
      <c r="K44" s="151"/>
      <c r="L44" s="8"/>
      <c r="M44" s="87">
        <f>IF($A44=M$58,M$53-SUM(M$11:M43), 0)</f>
        <v>0</v>
      </c>
      <c r="N44" s="8" t="str">
        <f t="shared" si="128"/>
        <v xml:space="preserve">   </v>
      </c>
      <c r="O44" s="87">
        <f>IF($A44&gt;M$58, 0, SUM(M44:M$47)*N44*M$63/M$64+SUM(M45:M$47)*(M$64-M$63)/M$64*N44)</f>
        <v>0</v>
      </c>
      <c r="P44" s="35"/>
      <c r="Q44" s="87">
        <f>IF($A44=Q$58,Q$53-SUM(Q$11:Q43), 0)</f>
        <v>0</v>
      </c>
      <c r="R44" s="8" t="str">
        <f t="shared" si="129"/>
        <v xml:space="preserve">   </v>
      </c>
      <c r="S44" s="87">
        <f>IF($A44&gt;Q$58, 0, SUM(Q44:Q$47)*R44*Q$63/Q$64+SUM(Q45:Q$47)*(Q$64-Q$63)/Q$64*R44)</f>
        <v>0</v>
      </c>
      <c r="T44" s="35"/>
      <c r="U44" s="35">
        <f t="shared" si="130"/>
        <v>0</v>
      </c>
      <c r="V44" s="35">
        <f t="shared" si="131"/>
        <v>0</v>
      </c>
      <c r="W44" s="35"/>
      <c r="X44" s="87">
        <f>IF($A44=X$58,X$53-SUM(X$11:X43), 0)</f>
        <v>0</v>
      </c>
      <c r="Y44" s="8" t="str">
        <f t="shared" si="132"/>
        <v xml:space="preserve">   </v>
      </c>
      <c r="Z44" s="87">
        <f>IF($A44&gt;X$58, 0, SUM(X44:X$47)*Y44*X$63/X$64+SUM(X45:X$47)*(X$64-X$63)/X$64*Y44)</f>
        <v>0</v>
      </c>
      <c r="AA44" s="87"/>
      <c r="AB44" s="87">
        <f>IF($A44=AB$58,AB$53-SUM(AB$11:AB43), 0)</f>
        <v>0</v>
      </c>
      <c r="AC44" s="8" t="str">
        <f t="shared" si="133"/>
        <v xml:space="preserve">   </v>
      </c>
      <c r="AD44" s="87">
        <f>IF($A44&gt;AB$58, 0, SUM(AB44:AB$47)*AC44*AB$63/AB$64+SUM(AB45:AB$47)*(AB$64-AB$63)/AB$64*AC44)</f>
        <v>0</v>
      </c>
      <c r="AE44" s="35"/>
      <c r="AF44" s="87">
        <f>IF($A44=AF$58,AF$53-SUM(AF$11:AF43), 0)</f>
        <v>0</v>
      </c>
      <c r="AG44" s="8" t="str">
        <f t="shared" si="134"/>
        <v xml:space="preserve">   </v>
      </c>
      <c r="AH44" s="87">
        <f>IF($A44&gt;AF$58, 0, SUM(AF44:AF$47)*AG44*AF$63/AF$64+SUM(AF45:AF$47)*(AF$64-AF$63)/AF$64*AG44)</f>
        <v>0</v>
      </c>
      <c r="AI44" s="35"/>
      <c r="AJ44" s="87">
        <f>IF($A44=AJ$58,AJ$53-SUM(AJ$11:AJ43), 0)</f>
        <v>0</v>
      </c>
      <c r="AK44" s="77" t="str">
        <f t="shared" si="135"/>
        <v xml:space="preserve">   </v>
      </c>
      <c r="AL44" s="87">
        <f>IF($A44&gt;AJ$58, 0, SUM(AJ44:AJ$47)*AK44*AJ$63/AJ$64+SUM(AJ45:AJ$47)*(AJ$64-AJ$63)/AJ$64*AK44)</f>
        <v>0</v>
      </c>
      <c r="AM44" s="35"/>
      <c r="AN44" s="87">
        <f>IF($A44='Debt Service'!AN$58, 'Debt Service'!AN$53-SUM(AN$11:AN43), 0)</f>
        <v>0</v>
      </c>
      <c r="AO44" s="77" t="str">
        <f t="shared" si="136"/>
        <v xml:space="preserve">   </v>
      </c>
      <c r="AP44" s="87">
        <f>IF($A44&gt;'Debt Service'!AN$58, 0, SUM(AN44:AN$47)*AO44*AN$63/AN$64+SUM(AN45:AN$47)*(AN$64-AN$63)/AN$64*AO44)</f>
        <v>0</v>
      </c>
      <c r="AQ44" s="35"/>
      <c r="AR44" s="87">
        <f>IF($A44=AR$58,AR$53-SUM(AR$11:AR43), 0)</f>
        <v>0</v>
      </c>
      <c r="AS44" s="77" t="str">
        <f t="shared" si="137"/>
        <v xml:space="preserve">   </v>
      </c>
      <c r="AT44" s="87">
        <f>IF($A44&gt;AR$58, 0, SUM(AR44:AR$47)*AS44*AR$63/AR$64+SUM(AR45:AR$47)*(AR$64-AR$63)/AR$64*AS44)</f>
        <v>0</v>
      </c>
      <c r="AV44" s="35">
        <f t="shared" si="138"/>
        <v>0</v>
      </c>
      <c r="AW44" s="35">
        <f t="shared" si="139"/>
        <v>0</v>
      </c>
      <c r="AX44" s="35"/>
      <c r="AY44" s="87">
        <f>IF($A44=AY$58,AY$53-SUM(AY$11:AY43), 0)</f>
        <v>0</v>
      </c>
      <c r="AZ44" s="8" t="str">
        <f t="shared" si="140"/>
        <v xml:space="preserve">   </v>
      </c>
      <c r="BA44" s="87">
        <f>IF($A44&gt;AY$58, 0, SUM(AY44:AY$47)*AZ44*AY$63/AY$64+SUM(AY45:AY$47)*(AY$64-AY$63)/AY$64*AZ44)</f>
        <v>0</v>
      </c>
      <c r="BB44" s="61"/>
      <c r="BC44" s="87">
        <f>IF($A44=BC$58,BC$53-SUM(BC$11:BC43), 0)</f>
        <v>0</v>
      </c>
      <c r="BD44" s="77" t="str">
        <f t="shared" si="141"/>
        <v xml:space="preserve">   </v>
      </c>
      <c r="BE44" s="87">
        <f>IF($A44&gt;BC$58, 0, SUM(BC44:BC$47)*BD44*BC$63/BC$64+SUM(BC45:BC$47)*(BC$64-BC$63)/BC$64*BD44)</f>
        <v>0</v>
      </c>
      <c r="BF44" s="61"/>
      <c r="BG44" s="87">
        <f>IF($A44=BG$58,BG$53-SUM(BG$11:BG43), 0)</f>
        <v>0</v>
      </c>
      <c r="BH44" s="77" t="str">
        <f t="shared" si="142"/>
        <v xml:space="preserve">   </v>
      </c>
      <c r="BI44" s="87">
        <f>IF($A44&gt;BG$58, 0, SUM(BG44:BG$47)*BH44*BG$63/BG$64+SUM(BG45:BG$47)*(BG$64-BG$63)/BG$64*BH44)</f>
        <v>0</v>
      </c>
      <c r="BJ44" s="61"/>
      <c r="BK44" s="35">
        <f t="shared" si="167"/>
        <v>0</v>
      </c>
      <c r="BL44" s="35">
        <f t="shared" si="168"/>
        <v>0</v>
      </c>
      <c r="BM44" s="8"/>
      <c r="BN44" s="87">
        <f>IF($A44=BN$58,BN$53-SUM(BN$11:BN43), 0)</f>
        <v>0</v>
      </c>
      <c r="BO44" s="8" t="str">
        <f t="shared" si="143"/>
        <v xml:space="preserve">   </v>
      </c>
      <c r="BP44" s="87">
        <f>IF($A44&gt;BN$58, 0, SUM(BN44:BN$47)*BO44*BN$63/BN$64+SUM(BN45:BN$47)*(BN$64-BN$63)/BN$64*BO44)</f>
        <v>0</v>
      </c>
      <c r="BQ44" s="77"/>
      <c r="BR44" s="87">
        <f>IF($A44=BR$58,BR$53-SUM(BR$11:BR43), 0)</f>
        <v>0</v>
      </c>
      <c r="BS44" s="77" t="str">
        <f t="shared" si="144"/>
        <v xml:space="preserve">   </v>
      </c>
      <c r="BT44" s="87">
        <f>IF($A44&gt;BR$58, 0, SUM(BR44:BR$47)*BS44*BR$63/BR$64+SUM(BR45:BR$47)*(BR$64-BR$63)/BR$64*BS44)</f>
        <v>0</v>
      </c>
      <c r="BU44" s="87"/>
      <c r="BV44" s="35">
        <f t="shared" si="169"/>
        <v>0</v>
      </c>
      <c r="BW44" s="35">
        <f t="shared" si="170"/>
        <v>0</v>
      </c>
      <c r="BX44" s="87"/>
      <c r="BY44" s="87">
        <f>IF($A44='Debt Service'!BY$58, 'Debt Service'!BY$53-SUM(BY$11:BY43), 0)</f>
        <v>0</v>
      </c>
      <c r="BZ44" s="8" t="str">
        <f>IF($A44&gt;'Debt Service'!BY$58, "   ",'Debt Service'!BY$54)</f>
        <v xml:space="preserve">   </v>
      </c>
      <c r="CA44" s="87"/>
      <c r="CB44" s="87"/>
      <c r="CC44" s="87">
        <f>IF($A44='Debt Service'!CC$58, 'Debt Service'!CC$53-SUM(CC$11:CC43), 0)</f>
        <v>0</v>
      </c>
      <c r="CD44" s="77" t="str">
        <f t="shared" si="146"/>
        <v xml:space="preserve">   </v>
      </c>
      <c r="CE44" s="87">
        <f>IF(OR($A44&gt;'Debt Service'!CC$58, $A44&lt;CC$51), 0, SUM(CC44:CC$47)*CD44*CC$63/CC$64+SUM(CC45:CC$47)*(CC$64-CC$63)/CC$64*CD44)</f>
        <v>0</v>
      </c>
      <c r="CF44" s="87"/>
      <c r="CG44" s="87">
        <f>IF($A44=CG$58,CG$53-SUM(CG$11:CG43), 0)</f>
        <v>75000000</v>
      </c>
      <c r="CH44" s="77">
        <f t="shared" si="147"/>
        <v>3.9000000000000007E-2</v>
      </c>
      <c r="CI44" s="87">
        <f>IF($A44&gt;CG$58, 0, SUM(CG44:CG$47)*CH44*CG$63/CG$64+SUM(CG45:CG$47)*(CG$64-CG$63)/CG$64*CH44)</f>
        <v>731250.00000000012</v>
      </c>
      <c r="CJ44" s="87"/>
      <c r="CK44" s="87">
        <f>IF($A44=CK$58,CK$53-SUM(CK$11:CK43), 0)</f>
        <v>75000000</v>
      </c>
      <c r="CL44" s="77">
        <f t="shared" si="148"/>
        <v>4.0410000000000001E-2</v>
      </c>
      <c r="CM44" s="87">
        <f>IF($A44&gt;CK$58, 0, SUM(CK44:CK$47)*CL44*CK$63/CK$64+SUM(CK45:CK$47)*(CK$64-CK$63)/CK$64*CL44)</f>
        <v>757687.5</v>
      </c>
      <c r="CN44" s="87"/>
      <c r="CO44" s="162">
        <f t="shared" si="149"/>
        <v>150000000</v>
      </c>
      <c r="CP44" s="87">
        <f t="shared" si="150"/>
        <v>1488937.5</v>
      </c>
      <c r="CQ44" s="87"/>
      <c r="CR44" s="87">
        <f>IF($A44='Debt Service'!CR$58, 'Debt Service'!CR$53-SUM(CR$11:CR43), 0)</f>
        <v>0</v>
      </c>
      <c r="CS44" s="77" t="str">
        <f t="shared" si="151"/>
        <v xml:space="preserve">   </v>
      </c>
      <c r="CT44" s="87">
        <f>IF($A44&gt;'Debt Service'!CR$58, 0, SUM(CR44:CR$47)*CS44*CR$63/CR$64+SUM(CR45:CR$47)*(CR$64-CR$63)/CR$64*CS44)</f>
        <v>0</v>
      </c>
      <c r="CU44" s="87"/>
      <c r="CV44" s="87">
        <f>IF($A44=CV$58,CV$53-SUM(CV$11:CV43), 0)</f>
        <v>0</v>
      </c>
      <c r="CW44" s="77" t="str">
        <f t="shared" si="152"/>
        <v xml:space="preserve">   </v>
      </c>
      <c r="CX44" s="87">
        <f>IF($A44&gt;CV$58, 0, SUM(CV44:CV$47)*CW44*CV$63/CV$64+SUM(CV45:CV$47)*(CV$64-CV$63)/CV$64*CW44)</f>
        <v>0</v>
      </c>
      <c r="CY44" s="87"/>
      <c r="CZ44" s="165">
        <f t="shared" si="153"/>
        <v>0</v>
      </c>
      <c r="DA44" s="165">
        <f t="shared" si="154"/>
        <v>0</v>
      </c>
      <c r="DB44" s="165"/>
      <c r="DC44" s="87">
        <f t="shared" si="155"/>
        <v>0</v>
      </c>
      <c r="DD44" s="77" t="str">
        <f t="shared" si="156"/>
        <v>---</v>
      </c>
      <c r="DE44" s="87">
        <f t="shared" si="174"/>
        <v>0</v>
      </c>
      <c r="DF44" s="165"/>
      <c r="DG44" s="87">
        <f>IF($A44=DG$58,DG$53-SUM(DG$11:DG43), 0)</f>
        <v>0</v>
      </c>
      <c r="DH44" s="77" t="str">
        <f t="shared" si="158"/>
        <v xml:space="preserve">   </v>
      </c>
      <c r="DI44" s="87">
        <f>IF(OR($A44&gt;DG$58,$A44&lt;DG$51), 0, SUM(DG44:DG$47)*DH44*DG$63/DG$64+SUM(DG45:DG$47)*(DG$64-DG$63)/DG$64*DH44)</f>
        <v>0</v>
      </c>
      <c r="DJ44" s="87"/>
      <c r="DK44" s="87">
        <f>IF($A44=DK$58,DK$53-SUM(DK$11:DK43), 0)</f>
        <v>0</v>
      </c>
      <c r="DL44" s="77" t="str">
        <f t="shared" si="159"/>
        <v xml:space="preserve">   </v>
      </c>
      <c r="DM44" s="87">
        <f>IF(OR($A44&gt;DK$58,$A44&lt;DK$51), 0, SUM(DK44:DK$47)*DL44*DK$63/DK$64+SUM(DK45:DK$47)*(DK$64-DK$63)/DK$64*DL44)</f>
        <v>0</v>
      </c>
      <c r="DN44" s="87"/>
      <c r="DO44" s="87">
        <f>IF($A44=DO$58,DO$53-SUM(DO$11:DO43), 0)</f>
        <v>0</v>
      </c>
      <c r="DP44" s="77" t="str">
        <f t="shared" si="160"/>
        <v xml:space="preserve">   </v>
      </c>
      <c r="DQ44" s="87">
        <f>IF(OR($A44&gt;DO$58,$A44&lt;DO$51), 0, SUM(DO44:DO$47)*DP44*DO$63/DO$64+SUM(DO45:DO$47)*(DO$64-DO$63)/DO$64*DP44)</f>
        <v>0</v>
      </c>
      <c r="DR44" s="165"/>
      <c r="DS44" s="87">
        <f>IF($A44=DS$58,DS$53-SUM(DS$11:DS43), 0)</f>
        <v>0</v>
      </c>
      <c r="DT44" s="77" t="str">
        <f t="shared" si="161"/>
        <v xml:space="preserve">   </v>
      </c>
      <c r="DU44" s="87">
        <f>IF(OR($A44&gt;DS$58,$A44&lt;DS$51), 0, SUM(DS44:DS$47)*DT44*DS$63/DS$64+SUM(DS45:DS$47)*(DS$64-DS$63)/DS$64*DT44)</f>
        <v>0</v>
      </c>
      <c r="DV44" s="165"/>
      <c r="DW44" s="165">
        <f t="shared" si="171"/>
        <v>150000000</v>
      </c>
      <c r="DX44" s="165">
        <f t="shared" si="172"/>
        <v>1488937.5</v>
      </c>
      <c r="DY44" s="87"/>
      <c r="DZ44" s="53">
        <f t="shared" si="162"/>
        <v>2057</v>
      </c>
      <c r="EA44" s="35">
        <f t="shared" si="163"/>
        <v>150000000</v>
      </c>
      <c r="EB44" s="35">
        <f t="shared" si="164"/>
        <v>1488937.5</v>
      </c>
      <c r="EC44" s="35">
        <f t="shared" si="175"/>
        <v>151488937.5</v>
      </c>
      <c r="ED44" s="171">
        <f t="shared" si="173"/>
        <v>34</v>
      </c>
      <c r="EE44" s="61">
        <f>EA$53-SUM(EA$10:EA44)</f>
        <v>0</v>
      </c>
    </row>
    <row r="45" spans="1:135" s="33" customFormat="1" outlineLevel="1">
      <c r="A45" s="7">
        <f t="shared" si="166"/>
        <v>2058</v>
      </c>
      <c r="B45" s="151">
        <f>Assumptions!B42</f>
        <v>5.3800000000000001E-2</v>
      </c>
      <c r="C45" s="151">
        <f>Assumptions!C42</f>
        <v>5.3800000000000001E-2</v>
      </c>
      <c r="D45" s="151">
        <f>Assumptions!D42</f>
        <v>3.5000000000000003E-2</v>
      </c>
      <c r="E45" s="151">
        <f>Assumptions!E42</f>
        <v>5.2999999999999999E-2</v>
      </c>
      <c r="F45" s="151">
        <f>Assumptions!F42</f>
        <v>0</v>
      </c>
      <c r="G45" s="151">
        <f>Assumptions!G42</f>
        <v>3.0000000000000001E-3</v>
      </c>
      <c r="H45" s="151">
        <f>Assumptions!H42</f>
        <v>8.0000000000000004E-4</v>
      </c>
      <c r="I45" s="151"/>
      <c r="J45" s="151"/>
      <c r="K45" s="151"/>
      <c r="L45" s="8"/>
      <c r="M45" s="87">
        <f>IF($A45=M$58,M$53-SUM(M$11:M44), 0)</f>
        <v>0</v>
      </c>
      <c r="N45" s="8" t="str">
        <f t="shared" si="128"/>
        <v xml:space="preserve">   </v>
      </c>
      <c r="O45" s="87">
        <f>IF($A45&gt;M$58, 0, SUM(M45:M$47)*N45*M$63/M$64+SUM(M46:M$47)*(M$64-M$63)/M$64*N45)</f>
        <v>0</v>
      </c>
      <c r="P45" s="35"/>
      <c r="Q45" s="87">
        <f>IF($A45=Q$58,Q$53-SUM(Q$11:Q44), 0)</f>
        <v>0</v>
      </c>
      <c r="R45" s="8" t="str">
        <f t="shared" si="129"/>
        <v xml:space="preserve">   </v>
      </c>
      <c r="S45" s="87">
        <f>IF($A45&gt;Q$58, 0, SUM(Q45:Q$47)*R45*Q$63/Q$64+SUM(Q46:Q$47)*(Q$64-Q$63)/Q$64*R45)</f>
        <v>0</v>
      </c>
      <c r="T45" s="35"/>
      <c r="U45" s="35">
        <f t="shared" si="130"/>
        <v>0</v>
      </c>
      <c r="V45" s="35">
        <f t="shared" si="131"/>
        <v>0</v>
      </c>
      <c r="W45" s="35"/>
      <c r="X45" s="87">
        <f>IF($A45=X$58,X$53-SUM(X$11:X44), 0)</f>
        <v>0</v>
      </c>
      <c r="Y45" s="8" t="str">
        <f t="shared" si="132"/>
        <v xml:space="preserve">   </v>
      </c>
      <c r="Z45" s="87">
        <f>IF($A45&gt;X$58, 0, SUM(X45:X$47)*Y45*X$63/X$64+SUM(X46:X$47)*(X$64-X$63)/X$64*Y45)</f>
        <v>0</v>
      </c>
      <c r="AA45" s="87"/>
      <c r="AB45" s="87">
        <f>IF($A45=AB$58,AB$53-SUM(AB$11:AB44), 0)</f>
        <v>0</v>
      </c>
      <c r="AC45" s="8" t="str">
        <f t="shared" si="133"/>
        <v xml:space="preserve">   </v>
      </c>
      <c r="AD45" s="87">
        <f>IF($A45&gt;AB$58, 0, SUM(AB45:AB$47)*AC45*AB$63/AB$64+SUM(AB46:AB$47)*(AB$64-AB$63)/AB$64*AC45)</f>
        <v>0</v>
      </c>
      <c r="AE45" s="35"/>
      <c r="AF45" s="87">
        <f>IF($A45=AF$58,AF$53-SUM(AF$11:AF44), 0)</f>
        <v>0</v>
      </c>
      <c r="AG45" s="8" t="str">
        <f t="shared" si="134"/>
        <v xml:space="preserve">   </v>
      </c>
      <c r="AH45" s="87">
        <f>IF($A45&gt;AF$58, 0, SUM(AF45:AF$47)*AG45*AF$63/AF$64+SUM(AF46:AF$47)*(AF$64-AF$63)/AF$64*AG45)</f>
        <v>0</v>
      </c>
      <c r="AI45" s="35"/>
      <c r="AJ45" s="87">
        <f>IF($A45=AJ$58,AJ$53-SUM(AJ$11:AJ44), 0)</f>
        <v>0</v>
      </c>
      <c r="AK45" s="77" t="str">
        <f t="shared" si="135"/>
        <v xml:space="preserve">   </v>
      </c>
      <c r="AL45" s="87">
        <f>IF($A45&gt;AJ$58, 0, SUM(AJ45:AJ$47)*AK45*AJ$63/AJ$64+SUM(AJ46:AJ$47)*(AJ$64-AJ$63)/AJ$64*AK45)</f>
        <v>0</v>
      </c>
      <c r="AM45" s="35"/>
      <c r="AN45" s="87">
        <f>IF($A45='Debt Service'!AN$58, 'Debt Service'!AN$53-SUM(AN$11:AN44), 0)</f>
        <v>0</v>
      </c>
      <c r="AO45" s="77" t="str">
        <f t="shared" si="136"/>
        <v xml:space="preserve">   </v>
      </c>
      <c r="AP45" s="87">
        <f>IF($A45&gt;'Debt Service'!AN$58, 0, SUM(AN45:AN$47)*AO45*AN$63/AN$64+SUM(AN46:AN$47)*(AN$64-AN$63)/AN$64*AO45)</f>
        <v>0</v>
      </c>
      <c r="AQ45" s="35"/>
      <c r="AR45" s="87">
        <f>IF($A45=AR$58,AR$53-SUM(AR$11:AR44), 0)</f>
        <v>0</v>
      </c>
      <c r="AS45" s="77" t="str">
        <f t="shared" si="137"/>
        <v xml:space="preserve">   </v>
      </c>
      <c r="AT45" s="87">
        <f>IF($A45&gt;AR$58, 0, SUM(AR45:AR$47)*AS45*AR$63/AR$64+SUM(AR46:AR$47)*(AR$64-AR$63)/AR$64*AS45)</f>
        <v>0</v>
      </c>
      <c r="AV45" s="35">
        <f t="shared" si="138"/>
        <v>0</v>
      </c>
      <c r="AW45" s="35">
        <f t="shared" si="139"/>
        <v>0</v>
      </c>
      <c r="AX45" s="35"/>
      <c r="AY45" s="87">
        <f>IF($A45=AY$58,AY$53-SUM(AY$11:AY44), 0)</f>
        <v>0</v>
      </c>
      <c r="AZ45" s="8" t="str">
        <f t="shared" si="140"/>
        <v xml:space="preserve">   </v>
      </c>
      <c r="BA45" s="87">
        <f>IF($A45&gt;AY$58, 0, SUM(AY45:AY$47)*AZ45*AY$63/AY$64+SUM(AY46:AY$47)*(AY$64-AY$63)/AY$64*AZ45)</f>
        <v>0</v>
      </c>
      <c r="BB45" s="61"/>
      <c r="BC45" s="87">
        <f>IF($A45=BC$58,BC$53-SUM(BC$11:BC44), 0)</f>
        <v>0</v>
      </c>
      <c r="BD45" s="77" t="str">
        <f t="shared" si="141"/>
        <v xml:space="preserve">   </v>
      </c>
      <c r="BE45" s="87">
        <f>IF($A45&gt;BC$58, 0, SUM(BC45:BC$47)*BD45*BC$63/BC$64+SUM(BC46:BC$47)*(BC$64-BC$63)/BC$64*BD45)</f>
        <v>0</v>
      </c>
      <c r="BF45" s="61"/>
      <c r="BG45" s="87">
        <f>IF($A45=BG$58,BG$53-SUM(BG$11:BG44), 0)</f>
        <v>0</v>
      </c>
      <c r="BH45" s="77" t="str">
        <f t="shared" si="142"/>
        <v xml:space="preserve">   </v>
      </c>
      <c r="BI45" s="87">
        <f>IF($A45&gt;BG$58, 0, SUM(BG45:BG$47)*BH45*BG$63/BG$64+SUM(BG46:BG$47)*(BG$64-BG$63)/BG$64*BH45)</f>
        <v>0</v>
      </c>
      <c r="BJ45" s="61"/>
      <c r="BK45" s="35">
        <f t="shared" si="167"/>
        <v>0</v>
      </c>
      <c r="BL45" s="35">
        <f t="shared" si="168"/>
        <v>0</v>
      </c>
      <c r="BM45" s="8"/>
      <c r="BN45" s="87">
        <f>IF($A45=BN$58,BN$53-SUM(BN$11:BN44), 0)</f>
        <v>0</v>
      </c>
      <c r="BO45" s="8" t="str">
        <f t="shared" si="143"/>
        <v xml:space="preserve">   </v>
      </c>
      <c r="BP45" s="87">
        <f>IF($A45&gt;BN$58, 0, SUM(BN45:BN$47)*BO45*BN$63/BN$64+SUM(BN46:BN$47)*(BN$64-BN$63)/BN$64*BO45)</f>
        <v>0</v>
      </c>
      <c r="BQ45" s="77"/>
      <c r="BR45" s="87">
        <f>IF($A45=BR$58,BR$53-SUM(BR$11:BR44), 0)</f>
        <v>0</v>
      </c>
      <c r="BS45" s="77" t="str">
        <f t="shared" si="144"/>
        <v xml:space="preserve">   </v>
      </c>
      <c r="BT45" s="87">
        <f>IF($A45&gt;BR$58, 0, SUM(BR45:BR$47)*BS45*BR$63/BR$64+SUM(BR46:BR$47)*(BR$64-BR$63)/BR$64*BS45)</f>
        <v>0</v>
      </c>
      <c r="BU45" s="87"/>
      <c r="BV45" s="35">
        <f t="shared" si="169"/>
        <v>0</v>
      </c>
      <c r="BW45" s="35">
        <f t="shared" si="170"/>
        <v>0</v>
      </c>
      <c r="BX45" s="87"/>
      <c r="BY45" s="87">
        <f>IF($A45='Debt Service'!BY$58, 'Debt Service'!BY$53-SUM(BY$11:BY44), 0)</f>
        <v>0</v>
      </c>
      <c r="BZ45" s="8" t="str">
        <f>IF($A45&gt;'Debt Service'!BY$58, "   ",'Debt Service'!BY$54)</f>
        <v xml:space="preserve">   </v>
      </c>
      <c r="CA45" s="87"/>
      <c r="CB45" s="87"/>
      <c r="CC45" s="87">
        <f>IF($A45='Debt Service'!CC$58, 'Debt Service'!CC$53-SUM(CC$11:CC44), 0)</f>
        <v>0</v>
      </c>
      <c r="CD45" s="77" t="str">
        <f t="shared" si="146"/>
        <v xml:space="preserve">   </v>
      </c>
      <c r="CE45" s="87">
        <f>IF(OR($A45&gt;'Debt Service'!CC$58, $A45&lt;CC$51), 0, SUM(CC45:CC$47)*CD45*CC$63/CC$64+SUM(CC46:CC$47)*(CC$64-CC$63)/CC$64*CD45)</f>
        <v>0</v>
      </c>
      <c r="CF45" s="87"/>
      <c r="CG45" s="87">
        <f>IF($A45=CG$58,CG$53-SUM(CG$11:CG44), 0)</f>
        <v>0</v>
      </c>
      <c r="CH45" s="77" t="str">
        <f t="shared" si="147"/>
        <v xml:space="preserve">   </v>
      </c>
      <c r="CI45" s="87">
        <f>IF($A45&gt;CG$58, 0, SUM(CG45:CG$47)*CH45*CG$63/CG$64+SUM(CG46:CG$47)*(CG$64-CG$63)/CG$64*CH45)</f>
        <v>0</v>
      </c>
      <c r="CJ45" s="87"/>
      <c r="CK45" s="87">
        <f>IF($A45=CK$58,CK$53-SUM(CK$11:CK44), 0)</f>
        <v>0</v>
      </c>
      <c r="CL45" s="77" t="str">
        <f t="shared" si="148"/>
        <v xml:space="preserve">   </v>
      </c>
      <c r="CM45" s="87">
        <f>IF($A45&gt;CK$58, 0, SUM(CK45:CK$47)*CL45*CK$63/CK$64+SUM(CK46:CK$47)*(CK$64-CK$63)/CK$64*CL45)</f>
        <v>0</v>
      </c>
      <c r="CN45" s="87"/>
      <c r="CO45" s="162">
        <f t="shared" si="149"/>
        <v>0</v>
      </c>
      <c r="CP45" s="87">
        <f t="shared" si="150"/>
        <v>0</v>
      </c>
      <c r="CQ45" s="87"/>
      <c r="CR45" s="87">
        <f>IF($A45='Debt Service'!CR$58, 'Debt Service'!CR$53-SUM(CR$11:CR44), 0)</f>
        <v>0</v>
      </c>
      <c r="CS45" s="77" t="str">
        <f t="shared" si="151"/>
        <v xml:space="preserve">   </v>
      </c>
      <c r="CT45" s="87">
        <f>IF($A45&gt;'Debt Service'!CR$58, 0, SUM(CR45:CR$47)*CS45*CR$63/CR$64+SUM(CR46:CR$47)*(CR$64-CR$63)/CR$64*CS45)</f>
        <v>0</v>
      </c>
      <c r="CU45" s="87"/>
      <c r="CV45" s="87">
        <f>IF($A45=CV$58,CV$53-SUM(CV$11:CV44), 0)</f>
        <v>0</v>
      </c>
      <c r="CW45" s="77" t="str">
        <f t="shared" si="152"/>
        <v xml:space="preserve">   </v>
      </c>
      <c r="CX45" s="87">
        <f>IF($A45&gt;CV$58, 0, SUM(CV45:CV$47)*CW45*CV$63/CV$64+SUM(CV46:CV$47)*(CV$64-CV$63)/CV$64*CW45)</f>
        <v>0</v>
      </c>
      <c r="CY45" s="87"/>
      <c r="CZ45" s="165">
        <f t="shared" si="153"/>
        <v>0</v>
      </c>
      <c r="DA45" s="165">
        <f t="shared" si="154"/>
        <v>0</v>
      </c>
      <c r="DB45" s="165"/>
      <c r="DC45" s="87">
        <f t="shared" si="155"/>
        <v>0</v>
      </c>
      <c r="DD45" s="77" t="str">
        <f t="shared" si="156"/>
        <v>---</v>
      </c>
      <c r="DE45" s="87">
        <f t="shared" si="174"/>
        <v>0</v>
      </c>
      <c r="DF45" s="165"/>
      <c r="DG45" s="87">
        <f>IF($A45=DG$58,DG$53-SUM(DG$11:DG44), 0)</f>
        <v>0</v>
      </c>
      <c r="DH45" s="77" t="str">
        <f t="shared" si="158"/>
        <v xml:space="preserve">   </v>
      </c>
      <c r="DI45" s="87">
        <f>IF(OR($A45&gt;DG$58,$A45&lt;DG$51), 0, SUM(DG45:DG$47)*DH45*DG$63/DG$64+SUM(DG46:DG$47)*(DG$64-DG$63)/DG$64*DH45)</f>
        <v>0</v>
      </c>
      <c r="DJ45" s="87"/>
      <c r="DK45" s="87">
        <f>IF($A45=DK$58,DK$53-SUM(DK$11:DK44), 0)</f>
        <v>0</v>
      </c>
      <c r="DL45" s="77" t="str">
        <f t="shared" si="159"/>
        <v xml:space="preserve">   </v>
      </c>
      <c r="DM45" s="87">
        <f>IF(OR($A45&gt;DK$58,$A45&lt;DK$51), 0, SUM(DK45:DK$47)*DL45*DK$63/DK$64+SUM(DK46:DK$47)*(DK$64-DK$63)/DK$64*DL45)</f>
        <v>0</v>
      </c>
      <c r="DN45" s="87"/>
      <c r="DO45" s="87">
        <f>IF($A45=DO$58,DO$53-SUM(DO$11:DO44), 0)</f>
        <v>0</v>
      </c>
      <c r="DP45" s="77" t="str">
        <f t="shared" si="160"/>
        <v xml:space="preserve">   </v>
      </c>
      <c r="DQ45" s="87">
        <f>IF(OR($A45&gt;DO$58,$A45&lt;DO$51), 0, SUM(DO45:DO$47)*DP45*DO$63/DO$64+SUM(DO46:DO$47)*(DO$64-DO$63)/DO$64*DP45)</f>
        <v>0</v>
      </c>
      <c r="DR45" s="165"/>
      <c r="DS45" s="87">
        <f>IF($A45=DS$58,DS$53-SUM(DS$11:DS44), 0)</f>
        <v>0</v>
      </c>
      <c r="DT45" s="77" t="str">
        <f t="shared" si="161"/>
        <v xml:space="preserve">   </v>
      </c>
      <c r="DU45" s="87">
        <f>IF(OR($A45&gt;DS$58,$A45&lt;DS$51), 0, SUM(DS45:DS$47)*DT45*DS$63/DS$64+SUM(DS46:DS$47)*(DS$64-DS$63)/DS$64*DT45)</f>
        <v>0</v>
      </c>
      <c r="DV45" s="165"/>
      <c r="DW45" s="165">
        <f t="shared" si="171"/>
        <v>0</v>
      </c>
      <c r="DX45" s="165">
        <f t="shared" si="172"/>
        <v>0</v>
      </c>
      <c r="DY45" s="87"/>
      <c r="DZ45" s="53">
        <f t="shared" si="162"/>
        <v>2058</v>
      </c>
      <c r="EA45" s="35">
        <f t="shared" si="163"/>
        <v>0</v>
      </c>
      <c r="EB45" s="35">
        <f t="shared" si="164"/>
        <v>0</v>
      </c>
      <c r="EC45" s="35">
        <f t="shared" si="175"/>
        <v>0</v>
      </c>
      <c r="ED45" s="171">
        <f t="shared" si="173"/>
        <v>35</v>
      </c>
      <c r="EE45" s="61">
        <f>EA$53-SUM(EA$10:EA45)</f>
        <v>0</v>
      </c>
    </row>
    <row r="46" spans="1:135" s="33" customFormat="1" outlineLevel="1">
      <c r="A46" s="7">
        <f t="shared" si="166"/>
        <v>2059</v>
      </c>
      <c r="B46" s="151">
        <f>Assumptions!B43</f>
        <v>5.3800000000000001E-2</v>
      </c>
      <c r="C46" s="151">
        <f>Assumptions!C43</f>
        <v>5.3800000000000001E-2</v>
      </c>
      <c r="D46" s="151">
        <f>Assumptions!D43</f>
        <v>3.5000000000000003E-2</v>
      </c>
      <c r="E46" s="151">
        <f>Assumptions!E43</f>
        <v>5.2999999999999999E-2</v>
      </c>
      <c r="F46" s="151">
        <f>Assumptions!F43</f>
        <v>0</v>
      </c>
      <c r="G46" s="151">
        <f>Assumptions!G43</f>
        <v>3.0000000000000001E-3</v>
      </c>
      <c r="H46" s="151">
        <f>Assumptions!H43</f>
        <v>8.0000000000000004E-4</v>
      </c>
      <c r="I46" s="151"/>
      <c r="J46" s="151"/>
      <c r="K46" s="151"/>
      <c r="L46" s="8"/>
      <c r="M46" s="87">
        <f>IF($A46=M$58,M$53-SUM(M$11:M45), 0)</f>
        <v>0</v>
      </c>
      <c r="N46" s="8" t="str">
        <f t="shared" si="128"/>
        <v xml:space="preserve">   </v>
      </c>
      <c r="O46" s="87">
        <f>IF($A46&gt;M$58, 0, SUM(M46:M$47)*N46*M$63/M$64+SUM(M47:M$47)*(M$64-M$63)/M$64*N46)</f>
        <v>0</v>
      </c>
      <c r="P46" s="35"/>
      <c r="Q46" s="87">
        <f>IF($A46=Q$58,Q$53-SUM(Q$11:Q45), 0)</f>
        <v>0</v>
      </c>
      <c r="R46" s="8" t="str">
        <f t="shared" si="129"/>
        <v xml:space="preserve">   </v>
      </c>
      <c r="S46" s="87">
        <f>IF($A46&gt;Q$58, 0, SUM(Q46:Q$47)*R46*Q$63/Q$64+SUM(Q47:Q$47)*(Q$64-Q$63)/Q$64*R46)</f>
        <v>0</v>
      </c>
      <c r="T46" s="35"/>
      <c r="U46" s="35">
        <f t="shared" si="130"/>
        <v>0</v>
      </c>
      <c r="V46" s="35">
        <f t="shared" si="131"/>
        <v>0</v>
      </c>
      <c r="W46" s="35"/>
      <c r="X46" s="87">
        <f>IF($A46=X$58,X$53-SUM(X$11:X45), 0)</f>
        <v>0</v>
      </c>
      <c r="Y46" s="8" t="str">
        <f t="shared" si="132"/>
        <v xml:space="preserve">   </v>
      </c>
      <c r="Z46" s="87">
        <f>IF($A46&gt;X$58, 0, SUM(X46:X$47)*Y46*X$63/X$64+SUM(X47:X$47)*(X$64-X$63)/X$64*Y46)</f>
        <v>0</v>
      </c>
      <c r="AA46" s="87"/>
      <c r="AB46" s="87">
        <f>IF($A46=AB$58,AB$53-SUM(AB$11:AB45), 0)</f>
        <v>0</v>
      </c>
      <c r="AC46" s="8" t="str">
        <f t="shared" si="133"/>
        <v xml:space="preserve">   </v>
      </c>
      <c r="AD46" s="87">
        <f>IF($A46&gt;AB$58, 0, SUM(AB46:AB$47)*AC46*AB$63/AB$64+SUM(AB47:AB$47)*(AB$64-AB$63)/AB$64*AC46)</f>
        <v>0</v>
      </c>
      <c r="AE46" s="35"/>
      <c r="AF46" s="87">
        <f>IF($A46=AF$58,AF$53-SUM(AF$11:AF45), 0)</f>
        <v>0</v>
      </c>
      <c r="AG46" s="8" t="str">
        <f t="shared" si="134"/>
        <v xml:space="preserve">   </v>
      </c>
      <c r="AH46" s="87">
        <f>IF($A46&gt;AF$58, 0, SUM(AF46:AF$47)*AG46*AF$63/AF$64+SUM(AF47:AF$47)*(AF$64-AF$63)/AF$64*AG46)</f>
        <v>0</v>
      </c>
      <c r="AI46" s="35"/>
      <c r="AJ46" s="87">
        <f>IF($A46=AJ$58,AJ$53-SUM(AJ$11:AJ45), 0)</f>
        <v>0</v>
      </c>
      <c r="AK46" s="77" t="str">
        <f t="shared" si="135"/>
        <v xml:space="preserve">   </v>
      </c>
      <c r="AL46" s="87">
        <f>IF($A46&gt;AJ$58, 0, SUM(AJ46:AJ$47)*AK46*AJ$63/AJ$64+SUM(AJ47:AJ$47)*(AJ$64-AJ$63)/AJ$64*AK46)</f>
        <v>0</v>
      </c>
      <c r="AM46" s="35"/>
      <c r="AN46" s="87">
        <f>IF($A46='Debt Service'!AN$58, 'Debt Service'!AN$53-SUM(AN$11:AN45), 0)</f>
        <v>0</v>
      </c>
      <c r="AO46" s="77" t="str">
        <f t="shared" si="136"/>
        <v xml:space="preserve">   </v>
      </c>
      <c r="AP46" s="87">
        <f>IF($A46&gt;'Debt Service'!AN$58, 0, SUM(AN46:AN$47)*AO46*AN$63/AN$64+SUM(AN47:AN$47)*(AN$64-AN$63)/AN$64*AO46)</f>
        <v>0</v>
      </c>
      <c r="AQ46" s="35"/>
      <c r="AR46" s="87">
        <f>IF($A46=AR$58,AR$53-SUM(AR$11:AR45), 0)</f>
        <v>0</v>
      </c>
      <c r="AS46" s="77" t="str">
        <f t="shared" si="137"/>
        <v xml:space="preserve">   </v>
      </c>
      <c r="AT46" s="87">
        <f>IF($A46&gt;AR$58, 0, SUM(AR46:AR$47)*AS46*AR$63/AR$64+SUM(AR47:AR$47)*(AR$64-AR$63)/AR$64*AS46)</f>
        <v>0</v>
      </c>
      <c r="AV46" s="35">
        <f t="shared" si="138"/>
        <v>0</v>
      </c>
      <c r="AW46" s="35">
        <f t="shared" si="139"/>
        <v>0</v>
      </c>
      <c r="AX46" s="35"/>
      <c r="AY46" s="87">
        <f>IF($A46=AY$58,AY$53-SUM(AY$11:AY45), 0)</f>
        <v>0</v>
      </c>
      <c r="AZ46" s="8" t="str">
        <f t="shared" si="140"/>
        <v xml:space="preserve">   </v>
      </c>
      <c r="BA46" s="87">
        <f>IF($A46&gt;AY$58, 0, SUM(AY46:AY$47)*AZ46*AY$63/AY$64+SUM(AY47:AY$47)*(AY$64-AY$63)/AY$64*AZ46)</f>
        <v>0</v>
      </c>
      <c r="BB46" s="61"/>
      <c r="BC46" s="87">
        <f>IF($A46=BC$58,BC$53-SUM(BC$11:BC45), 0)</f>
        <v>0</v>
      </c>
      <c r="BD46" s="77" t="str">
        <f t="shared" si="141"/>
        <v xml:space="preserve">   </v>
      </c>
      <c r="BE46" s="87">
        <f>IF($A46&gt;BC$58, 0, SUM(BC46:BC$47)*BD46*BC$63/BC$64+SUM(BC47:BC$47)*(BC$64-BC$63)/BC$64*BD46)</f>
        <v>0</v>
      </c>
      <c r="BF46" s="61"/>
      <c r="BG46" s="87">
        <f>IF($A46=BG$58,BG$53-SUM(BG$11:BG45), 0)</f>
        <v>0</v>
      </c>
      <c r="BH46" s="77" t="str">
        <f t="shared" si="142"/>
        <v xml:space="preserve">   </v>
      </c>
      <c r="BI46" s="87">
        <f>IF($A46&gt;BG$58, 0, SUM(BG46:BG$47)*BH46*BG$63/BG$64+SUM(BG47:BG$47)*(BG$64-BG$63)/BG$64*BH46)</f>
        <v>0</v>
      </c>
      <c r="BJ46" s="61"/>
      <c r="BK46" s="35">
        <f t="shared" si="167"/>
        <v>0</v>
      </c>
      <c r="BL46" s="35">
        <f t="shared" si="168"/>
        <v>0</v>
      </c>
      <c r="BM46" s="8"/>
      <c r="BN46" s="87">
        <f>IF($A46=BN$58,BN$53-SUM(BN$11:BN45), 0)</f>
        <v>0</v>
      </c>
      <c r="BO46" s="8" t="str">
        <f t="shared" si="143"/>
        <v xml:space="preserve">   </v>
      </c>
      <c r="BP46" s="87">
        <f>IF($A46&gt;BN$58, 0, SUM(BN46:BN$47)*BO46*BN$63/BN$64+SUM(BN47:BN$47)*(BN$64-BN$63)/BN$64*BO46)</f>
        <v>0</v>
      </c>
      <c r="BQ46" s="77"/>
      <c r="BR46" s="87">
        <f>IF($A46=BR$58,BR$53-SUM(BR$11:BR45), 0)</f>
        <v>0</v>
      </c>
      <c r="BS46" s="77" t="str">
        <f t="shared" si="144"/>
        <v xml:space="preserve">   </v>
      </c>
      <c r="BT46" s="87">
        <f>IF($A46&gt;BR$58, 0, SUM(BR46:BR$47)*BS46*BR$63/BR$64+SUM(BR47:BR$47)*(BR$64-BR$63)/BR$64*BS46)</f>
        <v>0</v>
      </c>
      <c r="BU46" s="87"/>
      <c r="BV46" s="35">
        <f t="shared" si="169"/>
        <v>0</v>
      </c>
      <c r="BW46" s="35">
        <f t="shared" si="170"/>
        <v>0</v>
      </c>
      <c r="BX46" s="87"/>
      <c r="BY46" s="87">
        <f>IF($A46='Debt Service'!BY$58, 'Debt Service'!BY$53-SUM(BY$11:BY45), 0)</f>
        <v>0</v>
      </c>
      <c r="BZ46" s="8" t="str">
        <f>IF($A46&gt;'Debt Service'!BY$58, "   ",'Debt Service'!BY$54)</f>
        <v xml:space="preserve">   </v>
      </c>
      <c r="CA46" s="87"/>
      <c r="CB46" s="87"/>
      <c r="CC46" s="87">
        <f>IF($A46='Debt Service'!CC$58, 'Debt Service'!CC$53-SUM(CC$11:CC45), 0)</f>
        <v>0</v>
      </c>
      <c r="CD46" s="77" t="str">
        <f t="shared" si="146"/>
        <v xml:space="preserve">   </v>
      </c>
      <c r="CE46" s="87">
        <f>IF(OR($A46&gt;'Debt Service'!CC$58, $A46&lt;CC$51), 0, SUM(CC46:CC$47)*CD46*CC$63/CC$64+SUM(CC47:CC$47)*(CC$64-CC$63)/CC$64*CD46)</f>
        <v>0</v>
      </c>
      <c r="CF46" s="87"/>
      <c r="CG46" s="87">
        <f>IF($A46=CG$58,CG$53-SUM(CG$11:CG45), 0)</f>
        <v>0</v>
      </c>
      <c r="CH46" s="77" t="str">
        <f t="shared" si="147"/>
        <v xml:space="preserve">   </v>
      </c>
      <c r="CI46" s="87">
        <f>IF($A46&gt;CG$58, 0, SUM(CG46:CG$47)*CH46*CG$63/CG$64+SUM(CG47:CG$47)*(CG$64-CG$63)/CG$64*CH46)</f>
        <v>0</v>
      </c>
      <c r="CJ46" s="87"/>
      <c r="CK46" s="87">
        <f>IF($A46=CK$58,CK$53-SUM(CK$11:CK45), 0)</f>
        <v>0</v>
      </c>
      <c r="CL46" s="77" t="str">
        <f t="shared" si="148"/>
        <v xml:space="preserve">   </v>
      </c>
      <c r="CM46" s="87">
        <f>IF($A46&gt;CK$58, 0, SUM(CK46:CK$47)*CL46*CK$63/CK$64+SUM(CK47:CK$47)*(CK$64-CK$63)/CK$64*CL46)</f>
        <v>0</v>
      </c>
      <c r="CN46" s="87"/>
      <c r="CO46" s="162">
        <f t="shared" si="149"/>
        <v>0</v>
      </c>
      <c r="CP46" s="87">
        <f t="shared" si="150"/>
        <v>0</v>
      </c>
      <c r="CQ46" s="87"/>
      <c r="CR46" s="87">
        <f>IF($A46='Debt Service'!CR$58, 'Debt Service'!CR$53-SUM(CR$11:CR45), 0)</f>
        <v>0</v>
      </c>
      <c r="CS46" s="77" t="str">
        <f t="shared" si="151"/>
        <v xml:space="preserve">   </v>
      </c>
      <c r="CT46" s="87">
        <f>IF($A46&gt;'Debt Service'!CR$58, 0, SUM(CR46:CR$47)*CS46*CR$63/CR$64+SUM(CR47:CR$47)*(CR$64-CR$63)/CR$64*CS46)</f>
        <v>0</v>
      </c>
      <c r="CU46" s="87"/>
      <c r="CV46" s="87">
        <f>IF($A46=CV$58,CV$53-SUM(CV$11:CV45), 0)</f>
        <v>0</v>
      </c>
      <c r="CW46" s="77" t="str">
        <f t="shared" si="152"/>
        <v xml:space="preserve">   </v>
      </c>
      <c r="CX46" s="87">
        <f>IF($A46&gt;CV$58, 0, SUM(CV46:CV$47)*CW46*CV$63/CV$64+SUM(CV47:CV$47)*(CV$64-CV$63)/CV$64*CW46)</f>
        <v>0</v>
      </c>
      <c r="CY46" s="87"/>
      <c r="CZ46" s="165">
        <f t="shared" si="153"/>
        <v>0</v>
      </c>
      <c r="DA46" s="165">
        <f t="shared" si="154"/>
        <v>0</v>
      </c>
      <c r="DB46" s="165"/>
      <c r="DC46" s="87">
        <f t="shared" si="155"/>
        <v>0</v>
      </c>
      <c r="DD46" s="77" t="str">
        <f t="shared" si="156"/>
        <v>---</v>
      </c>
      <c r="DE46" s="87">
        <f t="shared" si="174"/>
        <v>0</v>
      </c>
      <c r="DF46" s="165"/>
      <c r="DG46" s="87">
        <f>IF($A46=DG$58,DG$53-SUM(DG$11:DG45), 0)</f>
        <v>0</v>
      </c>
      <c r="DH46" s="77" t="str">
        <f t="shared" si="158"/>
        <v xml:space="preserve">   </v>
      </c>
      <c r="DI46" s="87">
        <f>IF(OR($A46&gt;DG$58,$A46&lt;DG$51), 0, SUM(DG46:DG$47)*DH46*DG$63/DG$64+SUM(DG47:DG$47)*(DG$64-DG$63)/DG$64*DH46)</f>
        <v>0</v>
      </c>
      <c r="DJ46" s="87"/>
      <c r="DK46" s="87">
        <f>IF($A46=DK$58,DK$53-SUM(DK$11:DK45), 0)</f>
        <v>0</v>
      </c>
      <c r="DL46" s="77" t="str">
        <f t="shared" si="159"/>
        <v xml:space="preserve">   </v>
      </c>
      <c r="DM46" s="87">
        <f>IF(OR($A46&gt;DK$58,$A46&lt;DK$51), 0, SUM(DK46:DK$47)*DL46*DK$63/DK$64+SUM(DK47:DK$47)*(DK$64-DK$63)/DK$64*DL46)</f>
        <v>0</v>
      </c>
      <c r="DN46" s="87"/>
      <c r="DO46" s="87">
        <f>IF($A46=DO$58,DO$53-SUM(DO$11:DO45), 0)</f>
        <v>0</v>
      </c>
      <c r="DP46" s="77" t="str">
        <f t="shared" si="160"/>
        <v xml:space="preserve">   </v>
      </c>
      <c r="DQ46" s="87">
        <f>IF(OR($A46&gt;DO$58,$A46&lt;DO$51), 0, SUM(DO46:DO$47)*DP46*DO$63/DO$64+SUM(DO47:DO$47)*(DO$64-DO$63)/DO$64*DP46)</f>
        <v>0</v>
      </c>
      <c r="DR46" s="165"/>
      <c r="DS46" s="87">
        <f>IF($A46=DS$58,DS$53-SUM(DS$11:DS45), 0)</f>
        <v>0</v>
      </c>
      <c r="DT46" s="77" t="str">
        <f t="shared" si="161"/>
        <v xml:space="preserve">   </v>
      </c>
      <c r="DU46" s="87">
        <f>IF(OR($A46&gt;DS$58,$A46&lt;DS$51), 0, SUM(DS46:DS$47)*DT46*DS$63/DS$64+SUM(DS47:DS$47)*(DS$64-DS$63)/DS$64*DT46)</f>
        <v>0</v>
      </c>
      <c r="DV46" s="165"/>
      <c r="DW46" s="165">
        <f t="shared" si="171"/>
        <v>0</v>
      </c>
      <c r="DX46" s="165">
        <f t="shared" si="172"/>
        <v>0</v>
      </c>
      <c r="DY46" s="87"/>
      <c r="DZ46" s="53">
        <f t="shared" si="162"/>
        <v>2059</v>
      </c>
      <c r="EA46" s="35">
        <f t="shared" si="163"/>
        <v>0</v>
      </c>
      <c r="EB46" s="35">
        <f t="shared" si="164"/>
        <v>0</v>
      </c>
      <c r="EC46" s="35">
        <f t="shared" si="175"/>
        <v>0</v>
      </c>
      <c r="ED46" s="171">
        <f t="shared" si="173"/>
        <v>36</v>
      </c>
      <c r="EE46" s="61">
        <f>SUM(EA47:EA$47)</f>
        <v>0</v>
      </c>
    </row>
    <row r="47" spans="1:135" s="33" customFormat="1" outlineLevel="1">
      <c r="A47" s="7">
        <f t="shared" si="166"/>
        <v>2060</v>
      </c>
      <c r="B47" s="151">
        <f>Assumptions!B44</f>
        <v>5.3800000000000001E-2</v>
      </c>
      <c r="C47" s="151">
        <f>Assumptions!C44</f>
        <v>5.3800000000000001E-2</v>
      </c>
      <c r="D47" s="151">
        <f>Assumptions!D44</f>
        <v>3.5000000000000003E-2</v>
      </c>
      <c r="E47" s="151">
        <f>Assumptions!E44</f>
        <v>5.2999999999999999E-2</v>
      </c>
      <c r="F47" s="151">
        <f>Assumptions!F44</f>
        <v>0</v>
      </c>
      <c r="G47" s="151">
        <f>Assumptions!G44</f>
        <v>3.0000000000000001E-3</v>
      </c>
      <c r="H47" s="151">
        <f>Assumptions!H44</f>
        <v>8.0000000000000004E-4</v>
      </c>
      <c r="I47" s="151"/>
      <c r="J47" s="151"/>
      <c r="K47" s="151"/>
      <c r="L47" s="8"/>
      <c r="M47" s="87">
        <f>IF($A47=M$58,M$53-SUM(M$11:M46), 0)</f>
        <v>0</v>
      </c>
      <c r="N47" s="8" t="str">
        <f t="shared" si="128"/>
        <v xml:space="preserve">   </v>
      </c>
      <c r="O47" s="87">
        <f>IF($A47&gt;M$58, 0, SUM(M47:M$47)*N47*M$63/M$64+SUM(#REF!)*(M$64-M$63)/M$64*N47)</f>
        <v>0</v>
      </c>
      <c r="P47" s="35"/>
      <c r="Q47" s="87">
        <f>IF($A47=Q$58,Q$53-SUM(Q$11:Q46), 0)</f>
        <v>0</v>
      </c>
      <c r="R47" s="8" t="str">
        <f t="shared" si="129"/>
        <v xml:space="preserve">   </v>
      </c>
      <c r="S47" s="87">
        <f>IF($A47&gt;Q$58, 0, SUM(Q47:Q$47)*R47*Q$63/Q$64+SUM(#REF!)*(Q$64-Q$63)/Q$64*R47)</f>
        <v>0</v>
      </c>
      <c r="T47" s="35"/>
      <c r="U47" s="35">
        <f t="shared" si="130"/>
        <v>0</v>
      </c>
      <c r="V47" s="35">
        <f t="shared" si="131"/>
        <v>0</v>
      </c>
      <c r="W47" s="35"/>
      <c r="X47" s="87">
        <f>IF($A47=X$58,X$53-SUM(X$11:X46), 0)</f>
        <v>0</v>
      </c>
      <c r="Y47" s="8" t="str">
        <f t="shared" si="132"/>
        <v xml:space="preserve">   </v>
      </c>
      <c r="Z47" s="87">
        <f>IF($A47&gt;X$58, 0, SUM(X47:X$47)*Y47*X$63/X$64+SUM(#REF!)*(X$64-X$63)/X$64*Y47)</f>
        <v>0</v>
      </c>
      <c r="AA47" s="87"/>
      <c r="AB47" s="87">
        <f>IF($A47=AB$58,AB$53-SUM(AB$11:AB46), 0)</f>
        <v>0</v>
      </c>
      <c r="AC47" s="8" t="str">
        <f t="shared" si="133"/>
        <v xml:space="preserve">   </v>
      </c>
      <c r="AD47" s="87">
        <f>IF($A47&gt;AB$58, 0, SUM(AB47:AB$47)*AC47*AB$63/AB$64+SUM(#REF!)*(AB$64-AB$63)/AB$64*AC47)</f>
        <v>0</v>
      </c>
      <c r="AE47" s="35"/>
      <c r="AF47" s="87">
        <f>IF($A47=AF$58,AF$53-SUM(AF$11:AF46), 0)</f>
        <v>0</v>
      </c>
      <c r="AG47" s="8" t="str">
        <f t="shared" si="134"/>
        <v xml:space="preserve">   </v>
      </c>
      <c r="AH47" s="87">
        <f>IF($A47&gt;AF$58, 0, SUM(AF47:AF$47)*AG47*AF$63/AF$64+SUM(#REF!)*(AF$64-AF$63)/AF$64*AG47)</f>
        <v>0</v>
      </c>
      <c r="AI47" s="35"/>
      <c r="AJ47" s="87">
        <f>IF($A47=AJ$58,AJ$53-SUM(AJ$11:AJ46), 0)</f>
        <v>0</v>
      </c>
      <c r="AK47" s="77" t="str">
        <f t="shared" si="135"/>
        <v xml:space="preserve">   </v>
      </c>
      <c r="AL47" s="87">
        <f>IF($A47&gt;AJ$58, 0, SUM(AJ47:AJ$47)*AK47*AJ$63/AJ$64+SUM(#REF!)*(AJ$64-AJ$63)/AJ$64*AK47)</f>
        <v>0</v>
      </c>
      <c r="AM47" s="35"/>
      <c r="AN47" s="87">
        <f>IF($A47='Debt Service'!AN$58, 'Debt Service'!AN$53-SUM(AN$11:AN46), 0)</f>
        <v>0</v>
      </c>
      <c r="AO47" s="77" t="str">
        <f t="shared" si="136"/>
        <v xml:space="preserve">   </v>
      </c>
      <c r="AP47" s="87">
        <f>IF($A47&gt;'Debt Service'!AN$58, 0, SUM(AN47:AN$47)*AO47*AN$63/AN$64+SUM(#REF!)*(AN$64-AN$63)/AN$64*AO47)</f>
        <v>0</v>
      </c>
      <c r="AQ47" s="35"/>
      <c r="AR47" s="87">
        <f>IF($A47=AR$58,AR$53-SUM(AR$11:AR46), 0)</f>
        <v>0</v>
      </c>
      <c r="AS47" s="77" t="str">
        <f t="shared" si="137"/>
        <v xml:space="preserve">   </v>
      </c>
      <c r="AT47" s="87">
        <f>IF($A47&gt;AR$58, 0, SUM(AR47:AR$47)*AS47*AR$63/AR$64+SUM(#REF!)*(AR$64-AR$63)/AR$64*AS47)</f>
        <v>0</v>
      </c>
      <c r="AV47" s="35">
        <f t="shared" si="138"/>
        <v>0</v>
      </c>
      <c r="AW47" s="35">
        <f t="shared" si="139"/>
        <v>0</v>
      </c>
      <c r="AX47" s="35"/>
      <c r="AY47" s="87">
        <f>IF($A47=AY$58,AY$53-SUM(AY$11:AY46), 0)</f>
        <v>0</v>
      </c>
      <c r="AZ47" s="8" t="str">
        <f t="shared" si="140"/>
        <v xml:space="preserve">   </v>
      </c>
      <c r="BA47" s="87">
        <f>IF($A47&gt;AY$58, 0, SUM(AY47:AY$47)*AZ47*AY$63/AY$64+SUM(#REF!)*(AY$64-AY$63)/AY$64*AZ47)</f>
        <v>0</v>
      </c>
      <c r="BB47" s="61"/>
      <c r="BC47" s="87">
        <f>IF($A47=BC$58,BC$53-SUM(BC$11:BC46), 0)</f>
        <v>0</v>
      </c>
      <c r="BD47" s="77" t="str">
        <f t="shared" si="141"/>
        <v xml:space="preserve">   </v>
      </c>
      <c r="BE47" s="87">
        <f>IF($A47&gt;BC$58, 0, SUM(BC47:BC$47)*BD47*BC$63/BC$64+SUM(#REF!)*(BC$64-BC$63)/BC$64*BD47)</f>
        <v>0</v>
      </c>
      <c r="BF47" s="61"/>
      <c r="BG47" s="87">
        <f>IF($A47=BG$58,BG$53-SUM(BG$11:BG46), 0)</f>
        <v>0</v>
      </c>
      <c r="BH47" s="77" t="str">
        <f t="shared" si="142"/>
        <v xml:space="preserve">   </v>
      </c>
      <c r="BI47" s="87">
        <f>IF($A47&gt;BG$58, 0, SUM(BG47:BG$47)*BH47*BG$63/BG$64+SUM(#REF!)*(BG$64-BG$63)/BG$64*BH47)</f>
        <v>0</v>
      </c>
      <c r="BJ47" s="61"/>
      <c r="BK47" s="35">
        <f t="shared" si="167"/>
        <v>0</v>
      </c>
      <c r="BL47" s="35">
        <f t="shared" si="168"/>
        <v>0</v>
      </c>
      <c r="BM47" s="8"/>
      <c r="BN47" s="87">
        <f>IF($A47=BN$58,BN$53-SUM(BN$11:BN46), 0)</f>
        <v>0</v>
      </c>
      <c r="BO47" s="8" t="str">
        <f t="shared" si="143"/>
        <v xml:space="preserve">   </v>
      </c>
      <c r="BP47" s="87">
        <f>IF($A47&gt;BN$58, 0, SUM(BN47:BN$47)*BO47*BN$63/BN$64+SUM(#REF!)*(BN$64-BN$63)/BN$64*BO47)</f>
        <v>0</v>
      </c>
      <c r="BQ47" s="77"/>
      <c r="BR47" s="87">
        <f>IF($A47=BR$58,BR$53-SUM(BR$11:BR46), 0)</f>
        <v>0</v>
      </c>
      <c r="BS47" s="77" t="str">
        <f t="shared" si="144"/>
        <v xml:space="preserve">   </v>
      </c>
      <c r="BT47" s="87">
        <f>IF($A47&gt;BR$58, 0, SUM(BR47:BR$47)*BS47*BR$63/BR$64+SUM(#REF!)*(BR$64-BR$63)/BR$64*BS47)</f>
        <v>0</v>
      </c>
      <c r="BU47" s="87"/>
      <c r="BV47" s="35">
        <f t="shared" si="169"/>
        <v>0</v>
      </c>
      <c r="BW47" s="35">
        <f t="shared" si="170"/>
        <v>0</v>
      </c>
      <c r="BX47" s="87"/>
      <c r="BY47" s="87">
        <f>IF($A47='Debt Service'!BY$58, 'Debt Service'!BY$53-SUM(BY$11:BY46), 0)</f>
        <v>0</v>
      </c>
      <c r="BZ47" s="8" t="str">
        <f>IF($A47&gt;'Debt Service'!BY$58, "   ",'Debt Service'!BY$54)</f>
        <v xml:space="preserve">   </v>
      </c>
      <c r="CA47" s="87"/>
      <c r="CB47" s="87"/>
      <c r="CC47" s="87">
        <f>IF($A47='Debt Service'!CC$58, 'Debt Service'!CC$53-SUM(CC$11:CC46), 0)</f>
        <v>0</v>
      </c>
      <c r="CD47" s="77" t="str">
        <f t="shared" si="146"/>
        <v xml:space="preserve">   </v>
      </c>
      <c r="CE47" s="87">
        <f>IF(OR($A47&gt;'Debt Service'!CC$58, $A47&lt;CC$51), 0, SUM(CC47:CC$47)*CD47*CC$63/CC$64+SUM(#REF!)*(CC$64-CC$63)/CC$64*CD47)</f>
        <v>0</v>
      </c>
      <c r="CF47" s="87"/>
      <c r="CG47" s="87">
        <f>IF($A47=CG$58,CG$53-SUM(CG$11:CG46), 0)</f>
        <v>0</v>
      </c>
      <c r="CH47" s="77" t="str">
        <f t="shared" si="147"/>
        <v xml:space="preserve">   </v>
      </c>
      <c r="CI47" s="87">
        <f>IF($A47&gt;CG$58, 0, SUM(CG47:CG$47)*CH47*CG$63/CG$64+SUM(#REF!)*(CG$64-CG$63)/CG$64*CH47)</f>
        <v>0</v>
      </c>
      <c r="CJ47" s="87"/>
      <c r="CK47" s="87">
        <f>IF($A47=CK$58,CK$53-SUM(CK$11:CK46), 0)</f>
        <v>0</v>
      </c>
      <c r="CL47" s="77" t="str">
        <f t="shared" si="148"/>
        <v xml:space="preserve">   </v>
      </c>
      <c r="CM47" s="87">
        <f>IF($A47&gt;CK$58, 0, SUM(CK47:CK$47)*CL47*CK$63/CK$64+SUM(#REF!)*(CK$64-CK$63)/CK$64*CL47)</f>
        <v>0</v>
      </c>
      <c r="CN47" s="87"/>
      <c r="CO47" s="162">
        <f t="shared" si="149"/>
        <v>0</v>
      </c>
      <c r="CP47" s="87">
        <f t="shared" si="150"/>
        <v>0</v>
      </c>
      <c r="CQ47" s="87"/>
      <c r="CR47" s="87">
        <f>IF($A47='Debt Service'!CR$58, 'Debt Service'!CR$53-SUM(CR$11:CR46), 0)</f>
        <v>0</v>
      </c>
      <c r="CS47" s="77" t="str">
        <f t="shared" si="151"/>
        <v xml:space="preserve">   </v>
      </c>
      <c r="CT47" s="87">
        <f>IF($A47&gt;'Debt Service'!CR$58, 0, SUM(CR47:CR$47)*CS47*CR$63/CR$64+SUM(#REF!)*(CR$64-CR$63)/CR$64*CS47)</f>
        <v>0</v>
      </c>
      <c r="CU47" s="87"/>
      <c r="CV47" s="87">
        <f>IF($A47=CV$58,CV$53-SUM(CV$11:CV46), 0)</f>
        <v>0</v>
      </c>
      <c r="CW47" s="77" t="str">
        <f t="shared" si="152"/>
        <v xml:space="preserve">   </v>
      </c>
      <c r="CX47" s="87">
        <f>IF($A47&gt;CV$58, 0, SUM(CV47:CV$47)*CW47*CV$63/CV$64+SUM(#REF!)*(CV$64-CV$63)/CV$64*CW47)</f>
        <v>0</v>
      </c>
      <c r="CY47" s="87"/>
      <c r="CZ47" s="165">
        <f t="shared" si="153"/>
        <v>0</v>
      </c>
      <c r="DA47" s="165">
        <f t="shared" si="154"/>
        <v>0</v>
      </c>
      <c r="DB47" s="165"/>
      <c r="DC47" s="87">
        <f t="shared" si="155"/>
        <v>0</v>
      </c>
      <c r="DD47" s="77" t="str">
        <f t="shared" si="156"/>
        <v>---</v>
      </c>
      <c r="DE47" s="87">
        <f>IF($A47&gt;DC$60, 0, ROUND(((DC47*DD47)+#REF!)/2+#REF!/2, 2))</f>
        <v>0</v>
      </c>
      <c r="DF47" s="165"/>
      <c r="DG47" s="87">
        <f>IF($A47=DG$58,DG$53-SUM(DG$11:DG46), 0)</f>
        <v>0</v>
      </c>
      <c r="DH47" s="77" t="str">
        <f t="shared" si="158"/>
        <v xml:space="preserve">   </v>
      </c>
      <c r="DI47" s="87">
        <f>IF(OR($A47&gt;DG$58,$A47&lt;DG$51), 0, SUM(DG47:DG$47)*DH47*DG$63/DG$64+SUM(#REF!)*(DG$64-DG$63)/DG$64*DH47)</f>
        <v>0</v>
      </c>
      <c r="DJ47" s="87"/>
      <c r="DK47" s="87">
        <f>IF($A47=DK$58,DK$53-SUM(DK$11:DK46), 0)</f>
        <v>0</v>
      </c>
      <c r="DL47" s="77" t="str">
        <f t="shared" si="159"/>
        <v xml:space="preserve">   </v>
      </c>
      <c r="DM47" s="87">
        <f>IF(OR($A47&gt;DK$58,$A47&lt;DK$51), 0, SUM(DK47:DK$47)*DL47*DK$63/DK$64+SUM(DK$47:DK48)*(DK$64-DK$63)/DK$64*DL47)</f>
        <v>0</v>
      </c>
      <c r="DN47" s="87"/>
      <c r="DO47" s="87">
        <f>IF($A47=DO$58,DO$53-SUM(DO$11:DO46), 0)</f>
        <v>0</v>
      </c>
      <c r="DP47" s="77" t="str">
        <f t="shared" si="160"/>
        <v xml:space="preserve">   </v>
      </c>
      <c r="DQ47" s="87">
        <f>IF(OR($A47&gt;DO$58,$A47&lt;DO$51), 0, SUM(DO47:DO$47)*DP47*DO$63/DO$64+SUM(#REF!)*(DO$64-DO$63)/DO$64*DP47)</f>
        <v>0</v>
      </c>
      <c r="DR47" s="165"/>
      <c r="DS47" s="87">
        <f>IF($A47=DS$58,DS$53-SUM(DS$11:DS46), 0)</f>
        <v>0</v>
      </c>
      <c r="DT47" s="77" t="str">
        <f t="shared" si="161"/>
        <v xml:space="preserve">   </v>
      </c>
      <c r="DU47" s="87">
        <f>IF(OR($A47&gt;DS$58,$A47&lt;DS$51), 0, SUM(DS47:DS$47)*DT47*DS$63/DS$64+SUM(#REF!)*(DS$64-DS$63)/DS$64*DT47)</f>
        <v>0</v>
      </c>
      <c r="DV47" s="165"/>
      <c r="DW47" s="165">
        <f t="shared" si="171"/>
        <v>0</v>
      </c>
      <c r="DX47" s="165">
        <f t="shared" si="172"/>
        <v>0</v>
      </c>
      <c r="DY47" s="87"/>
      <c r="DZ47" s="53">
        <f t="shared" si="162"/>
        <v>2060</v>
      </c>
      <c r="EA47" s="35">
        <f t="shared" si="163"/>
        <v>0</v>
      </c>
      <c r="EB47" s="35">
        <f t="shared" si="164"/>
        <v>0</v>
      </c>
      <c r="EC47" s="35">
        <f t="shared" si="175"/>
        <v>0</v>
      </c>
      <c r="ED47" s="171">
        <f t="shared" si="173"/>
        <v>37</v>
      </c>
      <c r="EE47" s="61">
        <f>SUM(EA$47:EA48)</f>
        <v>0</v>
      </c>
    </row>
    <row r="48" spans="1:135" s="6" customFormat="1" ht="7" outlineLevel="1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97"/>
      <c r="O48" s="99"/>
      <c r="P48" s="99"/>
      <c r="Q48" s="98"/>
      <c r="S48" s="99"/>
      <c r="T48" s="99"/>
      <c r="U48" s="99"/>
      <c r="V48" s="99"/>
      <c r="W48" s="99"/>
      <c r="X48" s="99"/>
      <c r="Y48" s="99"/>
      <c r="Z48" s="100"/>
      <c r="AA48" s="100"/>
      <c r="AB48" s="99"/>
      <c r="AC48" s="101"/>
      <c r="AD48" s="100"/>
      <c r="AE48" s="99"/>
      <c r="AF48" s="99"/>
      <c r="AG48" s="96"/>
      <c r="AH48" s="96"/>
      <c r="AI48" s="99"/>
      <c r="AJ48" s="99"/>
      <c r="AK48" s="102"/>
      <c r="AL48" s="98"/>
      <c r="AM48" s="99"/>
      <c r="AN48" s="99"/>
      <c r="AO48" s="96"/>
      <c r="AP48" s="98"/>
      <c r="AQ48" s="99"/>
      <c r="AR48" s="99"/>
      <c r="AS48" s="96"/>
      <c r="AT48" s="98"/>
      <c r="AV48" s="99"/>
      <c r="AW48" s="99"/>
      <c r="AX48" s="99"/>
      <c r="AY48" s="103"/>
      <c r="AZ48" s="103"/>
      <c r="BA48" s="103"/>
      <c r="BB48" s="103"/>
      <c r="BC48" s="103"/>
      <c r="BD48" s="102"/>
      <c r="BE48" s="103"/>
      <c r="BF48" s="103"/>
      <c r="BG48" s="103"/>
      <c r="BH48" s="102"/>
      <c r="BI48" s="103"/>
      <c r="BJ48" s="103"/>
      <c r="BK48" s="99"/>
      <c r="BL48" s="99"/>
      <c r="BM48" s="96"/>
      <c r="BN48" s="99"/>
      <c r="BO48" s="102"/>
      <c r="BP48" s="100"/>
      <c r="BQ48" s="102"/>
      <c r="BR48" s="99"/>
      <c r="BS48" s="102"/>
      <c r="BT48" s="100"/>
      <c r="BU48" s="100"/>
      <c r="BV48" s="99"/>
      <c r="BW48" s="99"/>
      <c r="BX48" s="100"/>
      <c r="BY48" s="99"/>
      <c r="BZ48" s="102"/>
      <c r="CA48" s="100"/>
      <c r="CB48" s="100"/>
      <c r="CC48" s="99"/>
      <c r="CD48" s="102"/>
      <c r="CE48" s="100"/>
      <c r="CF48" s="100"/>
      <c r="CG48" s="99"/>
      <c r="CH48" s="102"/>
      <c r="CI48" s="100"/>
      <c r="CJ48" s="100"/>
      <c r="CK48" s="99"/>
      <c r="CL48" s="102"/>
      <c r="CM48" s="100"/>
      <c r="CN48" s="100"/>
      <c r="CO48" s="100"/>
      <c r="CP48" s="100"/>
      <c r="CQ48" s="100"/>
      <c r="CR48" s="97"/>
      <c r="CS48" s="97"/>
      <c r="CT48" s="99"/>
      <c r="CU48" s="100"/>
      <c r="CV48" s="100"/>
      <c r="CW48" s="100"/>
      <c r="CX48" s="100"/>
      <c r="CY48" s="100"/>
      <c r="CZ48" s="100"/>
      <c r="DA48" s="100"/>
      <c r="DB48" s="100"/>
      <c r="DC48" s="99"/>
      <c r="DD48" s="102"/>
      <c r="DE48" s="100"/>
      <c r="DF48" s="100"/>
      <c r="DG48" s="99"/>
      <c r="DH48" s="102"/>
      <c r="DI48" s="100"/>
      <c r="DJ48" s="100"/>
      <c r="DK48" s="99"/>
      <c r="DL48" s="102"/>
      <c r="DM48" s="100"/>
      <c r="DN48" s="100"/>
      <c r="DO48" s="99"/>
      <c r="DP48" s="102"/>
      <c r="DQ48" s="100"/>
      <c r="DR48" s="100"/>
      <c r="DS48" s="99"/>
      <c r="DT48" s="102"/>
      <c r="DU48" s="100"/>
      <c r="DV48" s="100"/>
      <c r="DW48" s="100"/>
      <c r="DX48" s="100"/>
      <c r="DY48" s="100"/>
      <c r="DZ48" s="99"/>
      <c r="EA48" s="104"/>
      <c r="EB48" s="104"/>
      <c r="EC48" s="99"/>
    </row>
    <row r="49" spans="1:133" s="33" customFormat="1" ht="16" outlineLevel="1">
      <c r="A49" s="38" t="s">
        <v>7</v>
      </c>
      <c r="B49" s="38"/>
      <c r="C49" s="8"/>
      <c r="D49" s="8"/>
      <c r="E49" s="8"/>
      <c r="F49" s="8"/>
      <c r="G49" s="8"/>
      <c r="H49" s="8"/>
      <c r="I49" s="8"/>
      <c r="J49" s="8"/>
      <c r="K49" s="8"/>
      <c r="L49" s="38"/>
      <c r="M49" s="88">
        <f>SUM(M11:M40)</f>
        <v>6815000</v>
      </c>
      <c r="N49" s="88"/>
      <c r="O49" s="88">
        <f>SUM(O11:O40)</f>
        <v>1553820</v>
      </c>
      <c r="P49" s="88"/>
      <c r="Q49" s="88">
        <f>SUM(Q11:Q40)</f>
        <v>10000000</v>
      </c>
      <c r="S49" s="88">
        <f>SUM(S11:S40)</f>
        <v>3100000</v>
      </c>
      <c r="T49" s="88"/>
      <c r="U49" s="88">
        <f>SUM(U11:U40)</f>
        <v>16815000</v>
      </c>
      <c r="V49" s="88">
        <f>SUM(V11:V40)</f>
        <v>4653820</v>
      </c>
      <c r="W49" s="88"/>
      <c r="X49" s="88">
        <f>SUM(X11:X40)</f>
        <v>219535000</v>
      </c>
      <c r="Y49" s="88"/>
      <c r="Z49" s="88">
        <f>SUM(Z11:Z40)</f>
        <v>60372125</v>
      </c>
      <c r="AA49" s="88"/>
      <c r="AB49" s="88">
        <f>SUM(AB11:AB40)</f>
        <v>125000000</v>
      </c>
      <c r="AC49" s="88"/>
      <c r="AD49" s="88">
        <f>SUM(AD11:AD40)</f>
        <v>64687500</v>
      </c>
      <c r="AE49" s="88"/>
      <c r="AF49" s="88">
        <f>SUM(AF11:AF40)</f>
        <v>10000000</v>
      </c>
      <c r="AG49" s="88"/>
      <c r="AH49" s="88">
        <f>SUM(AH11:AH40)</f>
        <v>7425000</v>
      </c>
      <c r="AI49" s="88"/>
      <c r="AJ49" s="88">
        <f>SUM(AJ11:AJ40)</f>
        <v>50000000</v>
      </c>
      <c r="AK49" s="88"/>
      <c r="AL49" s="88">
        <f>SUM(AL11:AL40)</f>
        <v>35890000.000000007</v>
      </c>
      <c r="AM49" s="88"/>
      <c r="AN49" s="88">
        <f>SUM(AN11:AN40)</f>
        <v>0</v>
      </c>
      <c r="AO49" s="88"/>
      <c r="AP49" s="88">
        <f>SUM(AP11:AP40)</f>
        <v>0</v>
      </c>
      <c r="AQ49" s="88"/>
      <c r="AR49" s="88">
        <f>SUM(AR11:AR40)</f>
        <v>50000000</v>
      </c>
      <c r="AS49" s="88"/>
      <c r="AT49" s="88">
        <f>SUM(AT11:AT40)</f>
        <v>29393550</v>
      </c>
      <c r="AV49" s="88">
        <f>SUM(AV11:AV40)</f>
        <v>110000000</v>
      </c>
      <c r="AW49" s="88">
        <f>SUM(AW11:AW40)</f>
        <v>72708550</v>
      </c>
      <c r="AX49" s="88"/>
      <c r="AY49" s="89">
        <f>SUM(AY11:AY47)</f>
        <v>10000000</v>
      </c>
      <c r="AZ49" s="89"/>
      <c r="BA49" s="89">
        <f>SUM(BA11:BA47)</f>
        <v>5000000</v>
      </c>
      <c r="BB49" s="89"/>
      <c r="BC49" s="89">
        <f>SUM(BC11:BC47)</f>
        <v>30000000</v>
      </c>
      <c r="BD49" s="88"/>
      <c r="BE49" s="89">
        <f>SUM(BE11:BE47)</f>
        <v>32407155.000000004</v>
      </c>
      <c r="BF49" s="89"/>
      <c r="BG49" s="89">
        <f>SUM(BG11:BG47)</f>
        <v>75000000</v>
      </c>
      <c r="BH49" s="88"/>
      <c r="BI49" s="89">
        <f>SUM(BI11:BI47)</f>
        <v>83245387.500000015</v>
      </c>
      <c r="BJ49" s="89"/>
      <c r="BK49" s="88">
        <f>SUM(BK11:BK47)</f>
        <v>115000000</v>
      </c>
      <c r="BL49" s="88">
        <f>SUM(BL11:BL47)</f>
        <v>120652542.50000001</v>
      </c>
      <c r="BM49" s="39"/>
      <c r="BN49" s="88">
        <f>SUM(BN11:BN47)</f>
        <v>50000000</v>
      </c>
      <c r="BO49" s="39"/>
      <c r="BP49" s="88">
        <f>SUM(BP11:BP47)</f>
        <v>2500000</v>
      </c>
      <c r="BQ49" s="39"/>
      <c r="BR49" s="88">
        <f>SUM(BR11:BR47)</f>
        <v>75000000</v>
      </c>
      <c r="BS49" s="39"/>
      <c r="BT49" s="88">
        <f>SUM(BT11:BT47)</f>
        <v>92877500.000000015</v>
      </c>
      <c r="BU49" s="88"/>
      <c r="BV49" s="88">
        <f>SUM(BV11:BV47)</f>
        <v>125000000</v>
      </c>
      <c r="BW49" s="88">
        <f>SUM(BW11:BW47)</f>
        <v>95377500</v>
      </c>
      <c r="BX49" s="88"/>
      <c r="BY49" s="88">
        <f>SUM(BY11:BY47)</f>
        <v>45000000</v>
      </c>
      <c r="BZ49" s="39"/>
      <c r="CA49" s="88">
        <f>SUM(CA11:CA47)</f>
        <v>5400000</v>
      </c>
      <c r="CB49" s="88"/>
      <c r="CC49" s="88">
        <f>SUM(CC11:CC47)</f>
        <v>5000000</v>
      </c>
      <c r="CD49" s="39"/>
      <c r="CE49" s="88">
        <f>SUM(CE11:CE47)</f>
        <v>1625000</v>
      </c>
      <c r="CF49" s="88"/>
      <c r="CG49" s="88">
        <f>SUM(CG11:CG47)</f>
        <v>75000000</v>
      </c>
      <c r="CH49" s="39"/>
      <c r="CI49" s="88">
        <f>SUM(CI11:CI47)</f>
        <v>97256250.000000015</v>
      </c>
      <c r="CJ49" s="88"/>
      <c r="CK49" s="88">
        <f>SUM(CK11:CK47)</f>
        <v>75000000</v>
      </c>
      <c r="CL49" s="39"/>
      <c r="CM49" s="88">
        <f>SUM(CM11:CM47)</f>
        <v>100772437.5</v>
      </c>
      <c r="CN49" s="88"/>
      <c r="CO49" s="88">
        <f>SUM(CO11:CO47)</f>
        <v>155000000</v>
      </c>
      <c r="CP49" s="88">
        <f>SUM(CP11:CP47)</f>
        <v>199653687.5</v>
      </c>
      <c r="CQ49" s="88"/>
      <c r="CR49" s="88">
        <f>SUM(CR11:CR40)</f>
        <v>22000000</v>
      </c>
      <c r="CS49" s="88"/>
      <c r="CT49" s="88">
        <f>SUM(CT11:CT40)</f>
        <v>4950000</v>
      </c>
      <c r="CU49" s="88"/>
      <c r="CV49" s="88">
        <f>SUM(CV11:CV40)</f>
        <v>75000000</v>
      </c>
      <c r="CW49" s="88"/>
      <c r="CX49" s="88">
        <f>SUM(CX11:CX40)</f>
        <v>82207500.000000015</v>
      </c>
      <c r="CY49" s="88"/>
      <c r="CZ49" s="88">
        <f>SUM(CZ11:CZ40)</f>
        <v>97000000</v>
      </c>
      <c r="DA49" s="88">
        <f>SUM(DA11:DA40)</f>
        <v>87157500.000000015</v>
      </c>
      <c r="DB49" s="88"/>
      <c r="DC49" s="88">
        <f>SUM(DC11:DC47)</f>
        <v>141030000</v>
      </c>
      <c r="DD49" s="39"/>
      <c r="DE49" s="88">
        <f>SUM(DE11:DE47)</f>
        <v>31026600</v>
      </c>
      <c r="DF49" s="88"/>
      <c r="DG49" s="88">
        <f>SUM(DG11:DG47)</f>
        <v>0</v>
      </c>
      <c r="DH49" s="39"/>
      <c r="DI49" s="88">
        <f>SUM(DI11:DI47)</f>
        <v>0</v>
      </c>
      <c r="DJ49" s="88"/>
      <c r="DK49" s="88">
        <f>SUM(DK11:DK47)</f>
        <v>0</v>
      </c>
      <c r="DL49" s="39"/>
      <c r="DM49" s="88">
        <f>SUM(DM11:DM47)</f>
        <v>0</v>
      </c>
      <c r="DN49" s="88"/>
      <c r="DO49" s="88">
        <f>SUM(DO11:DO47)</f>
        <v>0</v>
      </c>
      <c r="DP49" s="39"/>
      <c r="DQ49" s="88">
        <f>SUM(DQ11:DQ47)</f>
        <v>0</v>
      </c>
      <c r="DR49" s="88"/>
      <c r="DS49" s="88">
        <f>SUM(DS11:DS47)</f>
        <v>0</v>
      </c>
      <c r="DT49" s="39"/>
      <c r="DU49" s="88">
        <f>SUM(DU11:DU47)</f>
        <v>0</v>
      </c>
      <c r="DV49" s="88"/>
      <c r="DW49" s="88">
        <f>SUM(DW11:DW48)</f>
        <v>788030000</v>
      </c>
      <c r="DX49" s="88">
        <f>SUM(DX11:DX48)</f>
        <v>611976380</v>
      </c>
      <c r="DY49" s="88"/>
      <c r="DZ49" s="39"/>
      <c r="EA49" s="39">
        <f>SUM(EA11:EA48)</f>
        <v>1149380000</v>
      </c>
      <c r="EB49" s="39">
        <f>SUM(EB11:EB48)</f>
        <v>741689825</v>
      </c>
      <c r="EC49" s="39">
        <f>SUM(EC11:EC48)</f>
        <v>1891069825</v>
      </c>
    </row>
    <row r="50" spans="1:133" outlineLevel="1"/>
    <row r="51" spans="1:133" outlineLevel="1">
      <c r="A51" s="226" t="s">
        <v>163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66">
        <v>1997</v>
      </c>
      <c r="Q51" s="66">
        <v>1997</v>
      </c>
      <c r="U51" s="66">
        <v>1997</v>
      </c>
      <c r="X51" s="66">
        <v>1998</v>
      </c>
      <c r="AB51" s="66">
        <v>2002</v>
      </c>
      <c r="AF51" s="66">
        <v>2007</v>
      </c>
      <c r="AJ51" s="66">
        <v>2007</v>
      </c>
      <c r="AN51" s="66">
        <v>2007</v>
      </c>
      <c r="AR51" s="66">
        <v>2007</v>
      </c>
      <c r="AV51" s="66">
        <v>2007</v>
      </c>
      <c r="AY51" s="66">
        <v>2018</v>
      </c>
      <c r="BC51" s="66">
        <v>2018</v>
      </c>
      <c r="BG51" s="66">
        <v>2018</v>
      </c>
      <c r="BK51" s="66">
        <v>2018</v>
      </c>
      <c r="BN51" s="66">
        <v>2020</v>
      </c>
      <c r="BR51" s="66">
        <v>2020</v>
      </c>
      <c r="BV51" s="66">
        <v>2020</v>
      </c>
      <c r="BY51" s="66">
        <v>2021</v>
      </c>
      <c r="CC51" s="66">
        <v>2022</v>
      </c>
      <c r="CG51" s="66">
        <v>2022</v>
      </c>
      <c r="CK51" s="66">
        <v>2022</v>
      </c>
      <c r="CO51" s="66">
        <v>2022</v>
      </c>
      <c r="CR51" s="66">
        <v>2022</v>
      </c>
      <c r="CS51" s="66"/>
      <c r="CT51" s="66"/>
      <c r="CU51" s="66"/>
      <c r="CV51" s="66">
        <v>2022</v>
      </c>
      <c r="CW51" s="66"/>
      <c r="CX51" s="66"/>
      <c r="CY51" s="66"/>
      <c r="CZ51" s="66">
        <v>2022</v>
      </c>
      <c r="DA51" s="66"/>
      <c r="DB51" s="66"/>
      <c r="DC51" s="66">
        <v>2023</v>
      </c>
      <c r="DF51" s="66"/>
      <c r="DG51" s="66">
        <v>2024</v>
      </c>
      <c r="DK51" s="66">
        <v>2025</v>
      </c>
      <c r="DO51" s="66">
        <v>2026</v>
      </c>
      <c r="DR51" s="66"/>
      <c r="DS51" s="66">
        <v>2027</v>
      </c>
      <c r="DV51" s="66"/>
      <c r="DW51" s="66"/>
      <c r="DX51" s="66"/>
    </row>
    <row r="52" spans="1:133" s="68" customFormat="1" outlineLevel="1">
      <c r="A52" s="226" t="s">
        <v>145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66" t="s">
        <v>137</v>
      </c>
      <c r="N52" s="66"/>
      <c r="O52" s="66"/>
      <c r="P52" s="66"/>
      <c r="Q52" s="66" t="s">
        <v>138</v>
      </c>
      <c r="U52" s="66" t="s">
        <v>1</v>
      </c>
      <c r="X52" s="66" t="s">
        <v>143</v>
      </c>
      <c r="AB52" s="66" t="s">
        <v>144</v>
      </c>
      <c r="AC52" s="66"/>
      <c r="AD52" s="66"/>
      <c r="AE52" s="66"/>
      <c r="AF52" s="66" t="s">
        <v>108</v>
      </c>
      <c r="AG52" s="66"/>
      <c r="AH52" s="66"/>
      <c r="AI52" s="66"/>
      <c r="AJ52" s="66" t="s">
        <v>109</v>
      </c>
      <c r="AK52" s="66"/>
      <c r="AL52" s="66"/>
      <c r="AM52" s="66"/>
      <c r="AN52" s="66" t="s">
        <v>110</v>
      </c>
      <c r="AO52" s="66"/>
      <c r="AP52" s="66"/>
      <c r="AQ52" s="66"/>
      <c r="AR52" s="66" t="s">
        <v>111</v>
      </c>
      <c r="AS52" s="66"/>
      <c r="AT52" s="66"/>
      <c r="AU52" s="66"/>
      <c r="AV52" s="66" t="s">
        <v>2</v>
      </c>
      <c r="AY52" s="68" t="s">
        <v>149</v>
      </c>
      <c r="BC52" s="66" t="s">
        <v>150</v>
      </c>
      <c r="BD52" s="66"/>
      <c r="BE52" s="66"/>
      <c r="BF52" s="66"/>
      <c r="BG52" s="66" t="s">
        <v>151</v>
      </c>
      <c r="BH52" s="66"/>
      <c r="BI52" s="66"/>
      <c r="BJ52" s="66"/>
      <c r="BK52" s="66" t="s">
        <v>98</v>
      </c>
      <c r="BN52" s="66" t="s">
        <v>134</v>
      </c>
      <c r="BR52" s="66" t="s">
        <v>152</v>
      </c>
      <c r="BV52" s="66" t="s">
        <v>157</v>
      </c>
      <c r="BX52"/>
      <c r="BY52" s="66" t="s">
        <v>162</v>
      </c>
      <c r="BZ52"/>
      <c r="CA52"/>
      <c r="CB52"/>
      <c r="CC52" s="66" t="s">
        <v>165</v>
      </c>
      <c r="CG52" s="66" t="s">
        <v>166</v>
      </c>
      <c r="CJ52"/>
      <c r="CK52" s="66" t="s">
        <v>167</v>
      </c>
      <c r="CO52" s="66" t="s">
        <v>170</v>
      </c>
      <c r="CR52" s="66" t="s">
        <v>171</v>
      </c>
      <c r="CS52" s="66"/>
      <c r="CT52" s="66"/>
      <c r="CU52" s="66"/>
      <c r="CV52" s="66" t="s">
        <v>172</v>
      </c>
      <c r="CW52" s="66"/>
      <c r="CX52" s="66"/>
      <c r="CY52" s="66"/>
      <c r="CZ52" s="66" t="s">
        <v>191</v>
      </c>
      <c r="DA52" s="66"/>
      <c r="DB52" s="66"/>
      <c r="DC52" s="66" t="s">
        <v>192</v>
      </c>
      <c r="DF52" s="66"/>
      <c r="DG52" s="66" t="s">
        <v>209</v>
      </c>
      <c r="DK52" s="66" t="s">
        <v>193</v>
      </c>
      <c r="DO52" s="66" t="s">
        <v>204</v>
      </c>
      <c r="DR52" s="66"/>
      <c r="DS52" s="66" t="s">
        <v>194</v>
      </c>
      <c r="DV52" s="66"/>
      <c r="DW52" s="66"/>
      <c r="DX52" s="66"/>
    </row>
    <row r="53" spans="1:133" outlineLevel="1">
      <c r="A53" s="234" t="s">
        <v>123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15">
        <v>6815000</v>
      </c>
      <c r="N53" s="15"/>
      <c r="O53" s="15"/>
      <c r="P53" s="15"/>
      <c r="Q53" s="127">
        <v>10000000</v>
      </c>
      <c r="U53" s="29">
        <f>M53+Q53</f>
        <v>16815000</v>
      </c>
      <c r="X53" s="127">
        <v>219535000</v>
      </c>
      <c r="AB53" s="127">
        <v>125000000</v>
      </c>
      <c r="AF53" s="15">
        <v>10000000</v>
      </c>
      <c r="AJ53" s="15">
        <v>50000000</v>
      </c>
      <c r="AN53" s="15">
        <v>0</v>
      </c>
      <c r="AR53" s="127">
        <v>50000000</v>
      </c>
      <c r="AV53" s="29">
        <f>AF53+AJ53+AN53+AR53</f>
        <v>110000000</v>
      </c>
      <c r="AY53" s="15">
        <v>10000000</v>
      </c>
      <c r="BC53" s="15">
        <v>30000000</v>
      </c>
      <c r="BG53" s="127">
        <v>75000000</v>
      </c>
      <c r="BK53" s="29">
        <f>AY53+BC53+BG53</f>
        <v>115000000</v>
      </c>
      <c r="BN53" s="67">
        <v>50000000</v>
      </c>
      <c r="BO53" s="68"/>
      <c r="BP53" s="68"/>
      <c r="BQ53" s="68"/>
      <c r="BR53" s="67">
        <v>75000000</v>
      </c>
      <c r="BV53" s="29">
        <f>BN53+BR53</f>
        <v>125000000</v>
      </c>
      <c r="BY53" s="67">
        <v>45000000</v>
      </c>
      <c r="CC53" s="67">
        <v>5000000</v>
      </c>
      <c r="CG53" s="67">
        <v>75000000</v>
      </c>
      <c r="CK53" s="67">
        <v>75000000</v>
      </c>
      <c r="CO53" s="116">
        <f>CC53+CG53+CK53</f>
        <v>155000000</v>
      </c>
      <c r="CR53" s="67">
        <v>22000000</v>
      </c>
      <c r="CS53" s="66"/>
      <c r="CT53" s="66"/>
      <c r="CU53" s="66"/>
      <c r="CV53" s="67">
        <v>75000000</v>
      </c>
      <c r="CZ53" s="116">
        <f>CR53+CV53</f>
        <v>97000000</v>
      </c>
      <c r="DC53" s="67">
        <v>141030000</v>
      </c>
      <c r="DG53" s="67">
        <v>0</v>
      </c>
      <c r="DK53" s="67">
        <v>0</v>
      </c>
      <c r="DO53" s="67">
        <v>0</v>
      </c>
      <c r="DS53" s="67">
        <v>0</v>
      </c>
      <c r="DW53" s="165">
        <f t="shared" ref="DW53" si="176">AV53+BK53+BV53+BY53+CO53+CZ53+DC53+DG53+DS53</f>
        <v>788030000</v>
      </c>
      <c r="EA53" s="35">
        <f>U53+X53+AB53+DW53</f>
        <v>1149380000</v>
      </c>
    </row>
    <row r="54" spans="1:133" outlineLevel="1">
      <c r="A54" s="234" t="s">
        <v>136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19">
        <v>5.7000000000000002E-2</v>
      </c>
      <c r="N54" s="19"/>
      <c r="O54" s="19"/>
      <c r="P54" s="19"/>
      <c r="Q54" s="19">
        <v>7.7499999999999999E-2</v>
      </c>
      <c r="X54" s="19">
        <v>5.5E-2</v>
      </c>
      <c r="AB54" s="19">
        <v>5.7500000000000002E-2</v>
      </c>
      <c r="AF54" s="19">
        <v>5.5E-2</v>
      </c>
      <c r="AJ54" s="19" t="s">
        <v>147</v>
      </c>
      <c r="AN54" s="19" t="s">
        <v>116</v>
      </c>
      <c r="AR54" s="19" t="s">
        <v>116</v>
      </c>
      <c r="AY54" s="19">
        <v>0.05</v>
      </c>
      <c r="BC54" s="19" t="s">
        <v>117</v>
      </c>
      <c r="BG54" s="19" t="s">
        <v>117</v>
      </c>
      <c r="BN54" s="142">
        <v>0.05</v>
      </c>
      <c r="BR54" s="142" t="s">
        <v>147</v>
      </c>
      <c r="BY54" s="142">
        <v>0.02</v>
      </c>
      <c r="CC54" s="146">
        <v>0.05</v>
      </c>
      <c r="CG54" s="142" t="s">
        <v>16</v>
      </c>
      <c r="CK54" s="142" t="s">
        <v>169</v>
      </c>
      <c r="CR54" s="146">
        <f>((0.05*2)+(0.04*20))/22</f>
        <v>4.0909090909090909E-2</v>
      </c>
      <c r="CS54" s="66"/>
      <c r="CT54" s="66"/>
      <c r="CU54" s="66"/>
      <c r="CV54" s="146" t="s">
        <v>147</v>
      </c>
      <c r="DG54" s="142" t="s">
        <v>147</v>
      </c>
      <c r="DK54" s="142" t="s">
        <v>147</v>
      </c>
      <c r="DO54" s="142" t="s">
        <v>147</v>
      </c>
      <c r="DS54" s="142" t="s">
        <v>147</v>
      </c>
    </row>
    <row r="55" spans="1:133" outlineLevel="1">
      <c r="A55" s="234" t="s">
        <v>113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19" t="s">
        <v>114</v>
      </c>
      <c r="N55" s="19"/>
      <c r="O55" s="19"/>
      <c r="P55" s="19"/>
      <c r="Q55" s="19" t="s">
        <v>114</v>
      </c>
      <c r="X55" s="19" t="s">
        <v>114</v>
      </c>
      <c r="AB55" s="19" t="s">
        <v>114</v>
      </c>
      <c r="AJ55" s="19">
        <v>1</v>
      </c>
      <c r="AN55" s="19">
        <v>0.67</v>
      </c>
      <c r="AR55" s="19">
        <v>0.67</v>
      </c>
      <c r="AY55" s="19" t="s">
        <v>114</v>
      </c>
      <c r="BC55" s="19">
        <v>0.67</v>
      </c>
      <c r="BG55" s="19">
        <v>0.67</v>
      </c>
      <c r="BN55" s="142">
        <v>1</v>
      </c>
      <c r="BR55" s="142">
        <v>1</v>
      </c>
      <c r="BY55" s="142">
        <v>1</v>
      </c>
      <c r="CC55" s="142">
        <v>1</v>
      </c>
      <c r="CG55" s="142">
        <v>1</v>
      </c>
      <c r="CK55" s="142">
        <v>0.67</v>
      </c>
      <c r="CR55" s="146" t="s">
        <v>114</v>
      </c>
      <c r="CS55" s="66"/>
      <c r="CT55" s="66"/>
      <c r="CU55" s="66"/>
      <c r="CV55" s="146">
        <v>1</v>
      </c>
      <c r="DC55" s="146">
        <v>1</v>
      </c>
      <c r="DG55" s="142">
        <v>1</v>
      </c>
      <c r="DK55" s="142">
        <v>1</v>
      </c>
      <c r="DO55" s="142">
        <v>1</v>
      </c>
      <c r="DS55" s="142">
        <v>1</v>
      </c>
    </row>
    <row r="56" spans="1:133" outlineLevel="1">
      <c r="A56" s="234" t="s">
        <v>96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19" t="s">
        <v>114</v>
      </c>
      <c r="N56" s="19"/>
      <c r="O56" s="19"/>
      <c r="P56" s="19"/>
      <c r="Q56" s="19" t="s">
        <v>114</v>
      </c>
      <c r="X56" s="19" t="s">
        <v>114</v>
      </c>
      <c r="AB56" s="19" t="s">
        <v>114</v>
      </c>
      <c r="AJ56" s="19" t="s">
        <v>114</v>
      </c>
      <c r="AN56" s="19">
        <v>6.4999999999999997E-3</v>
      </c>
      <c r="AR56" s="19">
        <v>7.4999999999999997E-3</v>
      </c>
      <c r="AY56" s="19" t="s">
        <v>114</v>
      </c>
      <c r="BC56" s="19">
        <v>7.6E-3</v>
      </c>
      <c r="BG56" s="19">
        <v>8.8000000000000005E-3</v>
      </c>
      <c r="BN56" s="142" t="s">
        <v>114</v>
      </c>
      <c r="BR56" s="142" t="s">
        <v>114</v>
      </c>
      <c r="BY56" s="142" t="s">
        <v>114</v>
      </c>
      <c r="CC56" s="142" t="s">
        <v>114</v>
      </c>
      <c r="CG56" s="142">
        <v>4.0000000000000001E-3</v>
      </c>
      <c r="CK56" s="142">
        <v>4.8999999999999998E-3</v>
      </c>
      <c r="CR56" s="146" t="s">
        <v>114</v>
      </c>
      <c r="CS56" s="66"/>
      <c r="CT56" s="66"/>
      <c r="CU56" s="66"/>
      <c r="CV56" s="146" t="s">
        <v>114</v>
      </c>
      <c r="DC56" s="146" t="s">
        <v>114</v>
      </c>
      <c r="DG56" s="142" t="s">
        <v>114</v>
      </c>
      <c r="DK56" s="142" t="s">
        <v>114</v>
      </c>
      <c r="DO56" s="142" t="s">
        <v>114</v>
      </c>
      <c r="DS56" s="142" t="s">
        <v>114</v>
      </c>
    </row>
    <row r="57" spans="1:133" outlineLevel="1">
      <c r="A57" s="234" t="s">
        <v>135</v>
      </c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CR57" s="68"/>
      <c r="CS57" s="66"/>
      <c r="CT57" s="66"/>
      <c r="CU57" s="66"/>
      <c r="CV57" s="68"/>
      <c r="DC57" s="68"/>
    </row>
    <row r="58" spans="1:133" outlineLevel="1">
      <c r="A58" s="250" t="s">
        <v>4</v>
      </c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18">
        <v>2027</v>
      </c>
      <c r="N58" s="18"/>
      <c r="O58" s="18"/>
      <c r="P58" s="18"/>
      <c r="Q58" s="18">
        <v>2027</v>
      </c>
      <c r="X58" s="18">
        <v>2028</v>
      </c>
      <c r="AB58" s="18">
        <v>2032</v>
      </c>
      <c r="AF58" s="18">
        <v>2037</v>
      </c>
      <c r="AJ58" s="18">
        <v>2042</v>
      </c>
      <c r="AN58" s="66">
        <v>2022</v>
      </c>
      <c r="AR58" s="18">
        <v>2037</v>
      </c>
      <c r="AV58" s="18">
        <f>MAX(AF58:AR58)</f>
        <v>2042</v>
      </c>
      <c r="AY58" s="18">
        <v>2033</v>
      </c>
      <c r="BC58" s="18">
        <v>2048</v>
      </c>
      <c r="BG58" s="18">
        <v>2048</v>
      </c>
      <c r="BN58" s="66">
        <v>2024</v>
      </c>
      <c r="BO58" s="68"/>
      <c r="BP58" s="68"/>
      <c r="BQ58" s="68"/>
      <c r="BR58" s="66">
        <v>2055</v>
      </c>
      <c r="BS58" s="68"/>
      <c r="BT58" s="68"/>
      <c r="BU58" s="68"/>
      <c r="BV58" s="68"/>
      <c r="BW58" s="68"/>
      <c r="BY58" s="66">
        <v>2029</v>
      </c>
      <c r="CC58" s="66">
        <v>2030</v>
      </c>
      <c r="CG58" s="66">
        <f>IF(CG51="***", "***", CG51+35)</f>
        <v>2057</v>
      </c>
      <c r="CK58" s="66">
        <f>IF(CK51="***", "***", CK51+35)</f>
        <v>2057</v>
      </c>
      <c r="CO58" s="18">
        <f>MAX(CC58:CK58)</f>
        <v>2057</v>
      </c>
      <c r="CR58" s="66">
        <v>2029</v>
      </c>
      <c r="CS58" s="66"/>
      <c r="CT58" s="66"/>
      <c r="CU58" s="66"/>
      <c r="CV58" s="66">
        <v>2052</v>
      </c>
      <c r="DC58" s="66">
        <v>2033</v>
      </c>
      <c r="DD58" s="67">
        <v>50000000</v>
      </c>
      <c r="DE58" s="146">
        <v>0.04</v>
      </c>
      <c r="DG58" s="66"/>
      <c r="DH58" s="68"/>
      <c r="DI58" s="68"/>
      <c r="DJ58" s="68"/>
      <c r="DK58" s="66"/>
      <c r="DL58" s="68"/>
      <c r="DM58" s="68"/>
      <c r="DN58" s="68"/>
      <c r="DO58" s="66"/>
      <c r="DP58" s="68"/>
      <c r="DQ58" s="68"/>
      <c r="DS58" s="66"/>
      <c r="DT58" s="68"/>
      <c r="DU58" s="68"/>
      <c r="DW58" s="18">
        <f>MAX(AV58,BR58,CO58,CV58,DG58,DK58,DO58,DS58)</f>
        <v>2057</v>
      </c>
    </row>
    <row r="59" spans="1:133" outlineLevel="1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18"/>
      <c r="N59" s="18"/>
      <c r="O59" s="18"/>
      <c r="P59" s="18"/>
      <c r="Q59" s="18"/>
      <c r="X59" s="18"/>
      <c r="AB59" s="18"/>
      <c r="AF59" s="18"/>
      <c r="AJ59" s="18"/>
      <c r="AN59" s="66"/>
      <c r="AR59" s="18"/>
      <c r="AV59" s="18"/>
      <c r="AY59" s="18"/>
      <c r="BC59" s="18"/>
      <c r="BG59" s="18"/>
      <c r="BN59" s="66"/>
      <c r="BO59" s="68"/>
      <c r="BP59" s="68"/>
      <c r="BQ59" s="68"/>
      <c r="BR59" s="66"/>
      <c r="BS59" s="68"/>
      <c r="BT59" s="68"/>
      <c r="BU59" s="68"/>
      <c r="BV59" s="68"/>
      <c r="BW59" s="68"/>
      <c r="BY59" s="66"/>
      <c r="CC59" s="66"/>
      <c r="CG59" s="66"/>
      <c r="CK59" s="66"/>
      <c r="CO59" s="18"/>
      <c r="CR59" s="66"/>
      <c r="CS59" s="66"/>
      <c r="CT59" s="66"/>
      <c r="CU59" s="66"/>
      <c r="CV59" s="66"/>
      <c r="DC59" s="66">
        <v>2034</v>
      </c>
      <c r="DD59" s="67">
        <v>41030000</v>
      </c>
      <c r="DE59" s="146">
        <v>0.04</v>
      </c>
      <c r="DG59" s="66"/>
      <c r="DH59" s="68"/>
      <c r="DI59" s="68"/>
      <c r="DJ59" s="68"/>
      <c r="DK59" s="66"/>
      <c r="DL59" s="68"/>
      <c r="DM59" s="68"/>
      <c r="DN59" s="68"/>
      <c r="DO59" s="66"/>
      <c r="DP59" s="68"/>
      <c r="DQ59" s="68"/>
      <c r="DS59" s="66"/>
      <c r="DT59" s="68"/>
      <c r="DU59" s="68"/>
    </row>
    <row r="60" spans="1:133" outlineLevel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18"/>
      <c r="N60" s="18"/>
      <c r="O60" s="18"/>
      <c r="P60" s="18"/>
      <c r="Q60" s="18"/>
      <c r="X60" s="18"/>
      <c r="AB60" s="18"/>
      <c r="AF60" s="18"/>
      <c r="AJ60" s="18"/>
      <c r="AN60" s="66"/>
      <c r="AR60" s="18"/>
      <c r="AV60" s="18"/>
      <c r="AY60" s="18"/>
      <c r="BC60" s="18"/>
      <c r="BG60" s="18"/>
      <c r="BN60" s="66"/>
      <c r="BO60" s="68"/>
      <c r="BP60" s="68"/>
      <c r="BQ60" s="68"/>
      <c r="BR60" s="66"/>
      <c r="BS60" s="68"/>
      <c r="BT60" s="68"/>
      <c r="BU60" s="68"/>
      <c r="BV60" s="68"/>
      <c r="BW60" s="68"/>
      <c r="BY60" s="66"/>
      <c r="CC60" s="66"/>
      <c r="CG60" s="66"/>
      <c r="CK60" s="66"/>
      <c r="CO60" s="18"/>
      <c r="CR60" s="66"/>
      <c r="CS60" s="66"/>
      <c r="CT60" s="66"/>
      <c r="CU60" s="66"/>
      <c r="CV60" s="66"/>
      <c r="DC60" s="66">
        <v>2035</v>
      </c>
      <c r="DD60" s="67">
        <v>50000000</v>
      </c>
      <c r="DE60" s="146">
        <v>0.04</v>
      </c>
      <c r="DG60" s="66"/>
      <c r="DH60" s="68"/>
      <c r="DI60" s="68"/>
      <c r="DJ60" s="68"/>
      <c r="DK60" s="66"/>
      <c r="DL60" s="68"/>
      <c r="DM60" s="68"/>
      <c r="DN60" s="68"/>
      <c r="DO60" s="66"/>
      <c r="DP60" s="68"/>
      <c r="DQ60" s="68"/>
      <c r="DS60" s="66"/>
      <c r="DT60" s="68"/>
      <c r="DU60" s="68"/>
    </row>
    <row r="61" spans="1:133" outlineLevel="1">
      <c r="A61" s="250" t="s">
        <v>115</v>
      </c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85">
        <v>46569</v>
      </c>
      <c r="N61" s="85"/>
      <c r="O61" s="85"/>
      <c r="P61" s="85"/>
      <c r="Q61" s="85">
        <v>46569</v>
      </c>
      <c r="X61" s="85">
        <v>46966</v>
      </c>
      <c r="AB61" s="85">
        <v>48396</v>
      </c>
      <c r="AF61" s="85">
        <v>50192</v>
      </c>
      <c r="AJ61" s="85">
        <v>52018</v>
      </c>
      <c r="AN61" s="147">
        <v>44602</v>
      </c>
      <c r="AR61" s="85">
        <v>50192</v>
      </c>
      <c r="AV61" s="85">
        <f>MAX(AF61:AR61)</f>
        <v>52018</v>
      </c>
      <c r="AY61" s="85">
        <v>48823</v>
      </c>
      <c r="BC61" s="85">
        <v>54302</v>
      </c>
      <c r="BG61" s="85">
        <v>54302</v>
      </c>
      <c r="BN61" s="85">
        <v>45597</v>
      </c>
      <c r="BR61" s="85">
        <v>56919</v>
      </c>
      <c r="BY61" s="85">
        <v>47392</v>
      </c>
      <c r="CC61" s="147">
        <v>47543</v>
      </c>
      <c r="CG61" s="147">
        <v>57405</v>
      </c>
      <c r="CK61" s="147">
        <v>57405</v>
      </c>
      <c r="CO61" s="147">
        <f>MAX(CC61:CK61)</f>
        <v>57405</v>
      </c>
      <c r="CR61" s="147">
        <v>47178</v>
      </c>
      <c r="CS61" s="66"/>
      <c r="CT61" s="66"/>
      <c r="CU61" s="66"/>
      <c r="CV61" s="147">
        <v>55579</v>
      </c>
      <c r="DC61" s="147">
        <v>49369</v>
      </c>
      <c r="DG61" s="85">
        <v>58319</v>
      </c>
      <c r="DK61" s="85">
        <v>58685</v>
      </c>
      <c r="DO61" s="85">
        <v>59141</v>
      </c>
      <c r="DS61" s="85">
        <v>59871</v>
      </c>
    </row>
    <row r="62" spans="1:133" outlineLevel="1">
      <c r="A62" s="234" t="s">
        <v>34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Q62" s="18"/>
      <c r="CR62" s="68"/>
      <c r="CS62" s="66"/>
      <c r="CT62" s="66"/>
      <c r="CU62" s="66"/>
      <c r="CV62" s="68"/>
      <c r="DC62" s="68"/>
    </row>
    <row r="63" spans="1:133" outlineLevel="1">
      <c r="A63" s="250" t="s">
        <v>140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18">
        <v>2</v>
      </c>
      <c r="Q63" s="18">
        <v>2</v>
      </c>
      <c r="X63" s="18">
        <v>2</v>
      </c>
      <c r="AB63" s="18">
        <v>2</v>
      </c>
      <c r="AF63" s="18">
        <v>1</v>
      </c>
      <c r="AJ63" s="18">
        <v>6</v>
      </c>
      <c r="AN63" s="18">
        <v>2</v>
      </c>
      <c r="AR63" s="18">
        <v>2</v>
      </c>
      <c r="AY63" s="18">
        <v>2</v>
      </c>
      <c r="BC63" s="18">
        <v>9</v>
      </c>
      <c r="BG63" s="18">
        <v>9</v>
      </c>
      <c r="BN63" s="18">
        <v>2</v>
      </c>
      <c r="BR63" s="18">
        <v>11</v>
      </c>
      <c r="BY63" s="18">
        <v>2</v>
      </c>
      <c r="CC63" s="18">
        <v>1</v>
      </c>
      <c r="CG63" s="18">
        <v>3</v>
      </c>
      <c r="CK63" s="18">
        <v>3</v>
      </c>
      <c r="CR63" s="66">
        <v>1</v>
      </c>
      <c r="CS63" s="66"/>
      <c r="CT63" s="66"/>
      <c r="CU63" s="66"/>
      <c r="CV63" s="66">
        <v>3</v>
      </c>
      <c r="DC63" s="66">
        <v>1</v>
      </c>
      <c r="DG63" s="18">
        <v>9</v>
      </c>
      <c r="DK63" s="18">
        <v>9</v>
      </c>
      <c r="DO63" s="18">
        <v>12</v>
      </c>
      <c r="DS63" s="18">
        <v>12</v>
      </c>
    </row>
    <row r="64" spans="1:133" outlineLevel="1">
      <c r="A64" s="250" t="s">
        <v>139</v>
      </c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18">
        <v>2</v>
      </c>
      <c r="Q64" s="18">
        <v>2</v>
      </c>
      <c r="X64" s="18">
        <v>2</v>
      </c>
      <c r="AB64" s="18">
        <v>2</v>
      </c>
      <c r="AF64" s="18">
        <v>2</v>
      </c>
      <c r="AJ64" s="18">
        <v>12</v>
      </c>
      <c r="AN64" s="18">
        <v>4</v>
      </c>
      <c r="AR64" s="18">
        <v>4</v>
      </c>
      <c r="AY64" s="18">
        <v>2</v>
      </c>
      <c r="BC64" s="18">
        <v>12</v>
      </c>
      <c r="BG64" s="18">
        <v>12</v>
      </c>
      <c r="BN64" s="18">
        <v>2</v>
      </c>
      <c r="BR64" s="18">
        <v>12</v>
      </c>
      <c r="BY64" s="18">
        <v>2</v>
      </c>
      <c r="CC64" s="18">
        <v>2</v>
      </c>
      <c r="CG64" s="18">
        <v>12</v>
      </c>
      <c r="CK64" s="18">
        <v>12</v>
      </c>
      <c r="CR64" s="66">
        <v>2</v>
      </c>
      <c r="CS64" s="66"/>
      <c r="CT64" s="66"/>
      <c r="CU64" s="66"/>
      <c r="CV64" s="66">
        <v>12</v>
      </c>
      <c r="DC64" s="66">
        <v>2</v>
      </c>
      <c r="DG64" s="18">
        <v>12</v>
      </c>
      <c r="DK64" s="18">
        <v>12</v>
      </c>
      <c r="DO64" s="18">
        <v>12</v>
      </c>
      <c r="DS64" s="18">
        <v>12</v>
      </c>
    </row>
    <row r="65" spans="1:134" outlineLevel="1">
      <c r="A65" s="234"/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CR65" s="68"/>
      <c r="CS65" s="66"/>
      <c r="CT65" s="66"/>
      <c r="CU65" s="66"/>
      <c r="CV65" s="68"/>
      <c r="DC65" s="68"/>
    </row>
    <row r="66" spans="1:134" outlineLevel="1">
      <c r="A66" s="234"/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CR66" s="68"/>
      <c r="CS66" s="66"/>
      <c r="CT66" s="66"/>
      <c r="CU66" s="66"/>
      <c r="CV66" s="68"/>
      <c r="DC66" s="68"/>
      <c r="DG66" s="18">
        <f>DG51</f>
        <v>2024</v>
      </c>
      <c r="DK66" s="18">
        <f>DK51</f>
        <v>2025</v>
      </c>
      <c r="DO66" s="18">
        <f>DO51</f>
        <v>2026</v>
      </c>
      <c r="DS66" s="18">
        <f>DS51</f>
        <v>2027</v>
      </c>
      <c r="ED66" s="171">
        <f t="shared" ref="ED66:ED69" si="177">ED65+1</f>
        <v>1</v>
      </c>
    </row>
    <row r="67" spans="1:134" outlineLevel="1">
      <c r="A67" s="234" t="s">
        <v>141</v>
      </c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15">
        <f>0.1*M53</f>
        <v>681500</v>
      </c>
      <c r="Q67" s="127">
        <f>0.1*Q53</f>
        <v>1000000</v>
      </c>
      <c r="U67" s="29">
        <f>M67+Q67</f>
        <v>1681500</v>
      </c>
      <c r="X67" s="29">
        <f>0.1*X53</f>
        <v>21953500</v>
      </c>
      <c r="AB67" s="29">
        <v>12500000</v>
      </c>
      <c r="AF67" s="73">
        <v>656000</v>
      </c>
      <c r="AJ67" s="73">
        <v>3140000</v>
      </c>
      <c r="AN67" s="73">
        <v>0</v>
      </c>
      <c r="AR67" s="73">
        <v>2972000</v>
      </c>
      <c r="AV67" s="80">
        <f>AF67+AJ67+AN67+AR67</f>
        <v>6768000</v>
      </c>
      <c r="AY67" s="52">
        <v>561000</v>
      </c>
      <c r="BC67" s="52">
        <v>1599000</v>
      </c>
      <c r="BG67" s="52">
        <v>4083000</v>
      </c>
      <c r="BK67" s="29">
        <f t="shared" ref="BK67:BK69" si="178">AY67+BC67+BG67</f>
        <v>6243000</v>
      </c>
      <c r="BN67" s="67">
        <v>1992000</v>
      </c>
      <c r="BR67" s="67">
        <v>3428000</v>
      </c>
      <c r="BV67" s="29">
        <f>BN67+BR67</f>
        <v>5420000</v>
      </c>
      <c r="BY67" s="67">
        <v>1872000</v>
      </c>
      <c r="CC67" s="67">
        <v>310000</v>
      </c>
      <c r="CG67" s="67">
        <v>3177000</v>
      </c>
      <c r="CK67" s="67">
        <v>3247000</v>
      </c>
      <c r="CO67" s="116">
        <f>CC67+CG67+CK67</f>
        <v>6734000</v>
      </c>
      <c r="CR67" s="67">
        <f>96000+912000</f>
        <v>1008000</v>
      </c>
      <c r="CS67" s="66"/>
      <c r="CT67" s="66"/>
      <c r="CU67" s="66"/>
      <c r="CV67" s="67">
        <v>3379000</v>
      </c>
      <c r="CW67" s="67"/>
      <c r="CZ67" s="116">
        <f>CR67+CV67</f>
        <v>4387000</v>
      </c>
      <c r="DC67" s="67">
        <v>7464000</v>
      </c>
      <c r="DG67" s="67">
        <f>0.05*DG53</f>
        <v>0</v>
      </c>
      <c r="DK67" s="67">
        <f>0.05*DK53</f>
        <v>0</v>
      </c>
      <c r="DO67" s="67">
        <f>0.05*DO53</f>
        <v>0</v>
      </c>
      <c r="DS67" s="67">
        <f>0.05*DS53</f>
        <v>0</v>
      </c>
      <c r="DW67" s="165">
        <f t="shared" ref="DW67:DW69" si="179">AV67+BK67+BV67+BY67+CO67+CZ67+DC67+DG67+DS67</f>
        <v>38888000</v>
      </c>
      <c r="EA67" s="35">
        <f>U67+X67+AB67+DW67</f>
        <v>75023000</v>
      </c>
      <c r="ED67" s="171">
        <f t="shared" si="177"/>
        <v>2</v>
      </c>
    </row>
    <row r="68" spans="1:134" outlineLevel="1">
      <c r="A68" s="234" t="s">
        <v>142</v>
      </c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128">
        <v>0</v>
      </c>
      <c r="Q68" s="128">
        <v>0</v>
      </c>
      <c r="U68" s="29">
        <f>M68+Q68</f>
        <v>0</v>
      </c>
      <c r="X68" s="128">
        <v>0</v>
      </c>
      <c r="AB68" s="15">
        <v>28159000</v>
      </c>
      <c r="AF68" s="52">
        <v>59250</v>
      </c>
      <c r="AG68" s="15"/>
      <c r="AH68" s="15"/>
      <c r="AI68" s="15"/>
      <c r="AJ68" s="15">
        <v>0</v>
      </c>
      <c r="AK68" s="15"/>
      <c r="AL68" s="15"/>
      <c r="AM68" s="15"/>
      <c r="AN68" s="15">
        <v>0</v>
      </c>
      <c r="AO68" s="15"/>
      <c r="AP68" s="15"/>
      <c r="AQ68" s="15"/>
      <c r="AR68" s="15">
        <v>0</v>
      </c>
      <c r="AV68" s="80">
        <f t="shared" ref="AV68" si="180">AF68+AJ68+AN68+AR68</f>
        <v>59250</v>
      </c>
      <c r="AY68" s="52">
        <v>343000</v>
      </c>
      <c r="BC68" s="15">
        <v>0</v>
      </c>
      <c r="BG68" s="15">
        <v>0</v>
      </c>
      <c r="BK68" s="29">
        <f t="shared" si="178"/>
        <v>343000</v>
      </c>
      <c r="BN68" s="67">
        <f>7538000</f>
        <v>7538000</v>
      </c>
      <c r="BR68" s="46">
        <v>0</v>
      </c>
      <c r="BV68" s="29">
        <f>BN68+BR68</f>
        <v>7538000</v>
      </c>
      <c r="BY68" s="46">
        <v>1940000</v>
      </c>
      <c r="CC68" s="67">
        <v>50000</v>
      </c>
      <c r="CG68" s="46">
        <v>0</v>
      </c>
      <c r="CK68" s="46">
        <v>0</v>
      </c>
      <c r="CO68" s="116">
        <f>CC68+CG68+CK68</f>
        <v>50000</v>
      </c>
      <c r="CR68" s="67">
        <v>0</v>
      </c>
      <c r="CS68" s="66"/>
      <c r="CT68" s="66"/>
      <c r="CU68" s="66"/>
      <c r="CV68" s="67">
        <v>0</v>
      </c>
      <c r="CW68" s="15"/>
      <c r="CX68" s="15"/>
      <c r="CY68" s="15"/>
      <c r="CZ68" s="116">
        <f>CR68+CV68</f>
        <v>0</v>
      </c>
      <c r="DC68" s="67">
        <f>8639000</f>
        <v>8639000</v>
      </c>
      <c r="DG68" s="46">
        <v>0</v>
      </c>
      <c r="DK68" s="46">
        <v>0</v>
      </c>
      <c r="DO68" s="46">
        <v>0</v>
      </c>
      <c r="DS68" s="46">
        <v>0</v>
      </c>
      <c r="DW68" s="165">
        <f t="shared" si="179"/>
        <v>18569250</v>
      </c>
      <c r="DX68" s="29"/>
      <c r="EA68" s="35">
        <f>U68+X68+AB68+DW68</f>
        <v>46728250</v>
      </c>
      <c r="EB68" s="29"/>
      <c r="ED68" s="171">
        <f t="shared" si="177"/>
        <v>3</v>
      </c>
    </row>
    <row r="69" spans="1:134" outlineLevel="1">
      <c r="A69" s="234" t="s">
        <v>56</v>
      </c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15">
        <f>M53+M68-M67</f>
        <v>6133500</v>
      </c>
      <c r="Q69" s="15">
        <f>Q53+Q68-Q67</f>
        <v>9000000</v>
      </c>
      <c r="U69" s="29">
        <f>M69+Q69</f>
        <v>15133500</v>
      </c>
      <c r="X69" s="15">
        <f>X53+X68-X67</f>
        <v>197581500</v>
      </c>
      <c r="AB69" s="15">
        <f>AB53+AB68-AB67</f>
        <v>140659000</v>
      </c>
      <c r="AF69" s="15">
        <f>AF53+AF68-AF67</f>
        <v>9403250</v>
      </c>
      <c r="AG69" s="15"/>
      <c r="AH69" s="15"/>
      <c r="AI69" s="15"/>
      <c r="AJ69" s="15">
        <f>AJ53+AJ68-AJ67</f>
        <v>46860000</v>
      </c>
      <c r="AK69" s="15"/>
      <c r="AL69" s="15"/>
      <c r="AM69" s="15"/>
      <c r="AN69" s="29">
        <f>AN53-AN67+AN68</f>
        <v>0</v>
      </c>
      <c r="AO69" s="15"/>
      <c r="AP69" s="15"/>
      <c r="AQ69" s="15"/>
      <c r="AR69" s="15">
        <f>AR53+AR68-AR67</f>
        <v>47028000</v>
      </c>
      <c r="AV69" s="15">
        <f>AV53+AV68-AV67</f>
        <v>103291250</v>
      </c>
      <c r="AY69" s="29">
        <f>AY53-AY67+AY68</f>
        <v>9782000</v>
      </c>
      <c r="BC69" s="29">
        <f>BC53-BC67+BC68</f>
        <v>28401000</v>
      </c>
      <c r="BG69" s="29">
        <f>BG53-BG67+BG68</f>
        <v>70917000</v>
      </c>
      <c r="BK69" s="29">
        <f t="shared" si="178"/>
        <v>109100000</v>
      </c>
      <c r="BN69" s="29">
        <f>BN53-BN67+BN68</f>
        <v>55546000</v>
      </c>
      <c r="BR69" s="29">
        <f>BR53-BR67+BR68</f>
        <v>71572000</v>
      </c>
      <c r="BV69" s="29">
        <f>BN69+BR69</f>
        <v>127118000</v>
      </c>
      <c r="BY69" s="29">
        <f>BY53-BY67+BY68</f>
        <v>45068000</v>
      </c>
      <c r="CC69" s="29">
        <f>CC53-CC67+CC68</f>
        <v>4740000</v>
      </c>
      <c r="CG69" s="29">
        <f>CG53-CG67+CG68</f>
        <v>71823000</v>
      </c>
      <c r="CK69" s="29">
        <f>CK53-CK67+CK68</f>
        <v>71753000</v>
      </c>
      <c r="CO69" s="116">
        <f>CC69+CG69+CK69</f>
        <v>148316000</v>
      </c>
      <c r="CR69" s="73">
        <f>CR49-CR67</f>
        <v>20992000</v>
      </c>
      <c r="CS69" s="66"/>
      <c r="CT69" s="66"/>
      <c r="CU69" s="66"/>
      <c r="CV69" s="73">
        <f>CV53-CV67+CV68</f>
        <v>71621000</v>
      </c>
      <c r="CZ69" s="116">
        <f>CR69+CV69</f>
        <v>92613000</v>
      </c>
      <c r="DC69" s="73">
        <f>DC53-DC67+DC68</f>
        <v>142205000</v>
      </c>
      <c r="DG69" s="29">
        <f>DG53-DG67+DG68</f>
        <v>0</v>
      </c>
      <c r="DK69" s="29">
        <f>DK53-DK67+DK68</f>
        <v>0</v>
      </c>
      <c r="DO69" s="29">
        <f>DO53-DO67+DO68</f>
        <v>0</v>
      </c>
      <c r="DS69" s="29">
        <f>DS53-DS67+DS68</f>
        <v>0</v>
      </c>
      <c r="DW69" s="165">
        <f t="shared" si="179"/>
        <v>767711250</v>
      </c>
      <c r="EA69" s="35">
        <f>U69+X69+AB69+DW69</f>
        <v>1121085250</v>
      </c>
      <c r="EB69" s="195">
        <f>EA49-EA67-(EA69-EA68)</f>
        <v>0</v>
      </c>
      <c r="EC69" s="29"/>
      <c r="ED69" s="171">
        <f t="shared" si="177"/>
        <v>4</v>
      </c>
    </row>
    <row r="70" spans="1:134" outlineLevel="1">
      <c r="A70" s="234"/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CS70" s="66"/>
      <c r="CT70" s="66"/>
      <c r="CU70" s="66"/>
      <c r="EA70" s="29"/>
      <c r="EC70" s="29"/>
    </row>
    <row r="71" spans="1:134" outlineLevel="1">
      <c r="A71" s="259" t="s">
        <v>146</v>
      </c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CR71" s="146"/>
      <c r="CZ71" s="29"/>
      <c r="DC71" s="29">
        <f>DC67+DC68+DC69</f>
        <v>158308000</v>
      </c>
    </row>
    <row r="72" spans="1:134" outlineLevel="1">
      <c r="A72" s="129">
        <f>DW58</f>
        <v>2057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CR72" s="146"/>
    </row>
    <row r="73" spans="1:134">
      <c r="O73" s="128"/>
      <c r="AA73" s="18"/>
      <c r="CR73" s="146"/>
    </row>
    <row r="74" spans="1:134" ht="14">
      <c r="A74" s="254" t="s">
        <v>181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79"/>
      <c r="BF74" s="179"/>
      <c r="BG74" s="179"/>
      <c r="BH74" s="179"/>
      <c r="BI74" s="179"/>
      <c r="BJ74" s="179"/>
      <c r="BK74" s="179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179"/>
      <c r="BW74" s="179"/>
      <c r="BX74" s="179"/>
      <c r="BY74" s="179"/>
      <c r="BZ74" s="179"/>
      <c r="CA74" s="179"/>
      <c r="CB74" s="179"/>
      <c r="CC74" s="179"/>
      <c r="CD74" s="179"/>
      <c r="CE74" s="179"/>
      <c r="CF74" s="179"/>
      <c r="CG74" s="179"/>
      <c r="CH74" s="179"/>
      <c r="CI74" s="179"/>
      <c r="CJ74" s="179"/>
      <c r="CK74" s="179"/>
      <c r="CL74" s="179"/>
      <c r="CM74" s="179"/>
      <c r="CN74" s="179"/>
      <c r="CO74" s="179"/>
      <c r="CP74" s="179"/>
      <c r="CQ74" s="179"/>
      <c r="CR74" s="179"/>
      <c r="CS74" s="179"/>
      <c r="CT74" s="179"/>
      <c r="CU74" s="179"/>
      <c r="CV74" s="179"/>
      <c r="CW74" s="179"/>
      <c r="CX74" s="179"/>
      <c r="CY74" s="179"/>
      <c r="CZ74" s="179"/>
      <c r="DA74" s="179"/>
      <c r="DB74" s="179"/>
      <c r="DC74" s="179"/>
      <c r="DD74" s="179"/>
      <c r="DE74" s="179"/>
      <c r="DF74" s="179"/>
      <c r="DG74" s="179"/>
      <c r="DH74" s="179"/>
      <c r="DI74" s="179"/>
      <c r="DJ74" s="179"/>
      <c r="DK74" s="179"/>
      <c r="DL74" s="179"/>
      <c r="DM74" s="179"/>
      <c r="DN74" s="179"/>
      <c r="DO74" s="179"/>
      <c r="DP74" s="179"/>
      <c r="DQ74" s="179"/>
      <c r="DR74" s="179"/>
      <c r="DS74" s="179"/>
      <c r="DT74" s="179"/>
      <c r="DU74" s="179"/>
      <c r="DV74" s="179"/>
      <c r="DW74" s="179"/>
      <c r="DX74" s="179"/>
      <c r="DY74" s="179"/>
      <c r="DZ74" s="179"/>
      <c r="EA74" s="179"/>
      <c r="EB74" s="179"/>
    </row>
    <row r="75" spans="1:134" ht="14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42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</row>
    <row r="76" spans="1:134" outlineLevel="1">
      <c r="A76" s="40">
        <f>1</f>
        <v>1</v>
      </c>
      <c r="B76" s="40">
        <f t="shared" ref="B76:BB76" si="181">A76+1</f>
        <v>2</v>
      </c>
      <c r="C76" s="40">
        <f t="shared" si="181"/>
        <v>3</v>
      </c>
      <c r="D76" s="40">
        <f t="shared" si="181"/>
        <v>4</v>
      </c>
      <c r="E76" s="40">
        <f t="shared" si="181"/>
        <v>5</v>
      </c>
      <c r="F76" s="40">
        <f t="shared" si="181"/>
        <v>6</v>
      </c>
      <c r="G76" s="40">
        <f t="shared" si="181"/>
        <v>7</v>
      </c>
      <c r="H76" s="40">
        <f t="shared" si="181"/>
        <v>8</v>
      </c>
      <c r="I76" s="40">
        <f t="shared" si="181"/>
        <v>9</v>
      </c>
      <c r="J76" s="40">
        <f t="shared" si="181"/>
        <v>10</v>
      </c>
      <c r="K76" s="40">
        <f t="shared" si="181"/>
        <v>11</v>
      </c>
      <c r="L76" s="40">
        <f t="shared" si="181"/>
        <v>12</v>
      </c>
      <c r="M76" s="40">
        <f t="shared" si="181"/>
        <v>13</v>
      </c>
      <c r="N76" s="40">
        <f t="shared" si="181"/>
        <v>14</v>
      </c>
      <c r="O76" s="40">
        <f t="shared" si="181"/>
        <v>15</v>
      </c>
      <c r="P76" s="40">
        <f t="shared" si="181"/>
        <v>16</v>
      </c>
      <c r="Q76" s="40">
        <f t="shared" si="181"/>
        <v>17</v>
      </c>
      <c r="R76" s="40">
        <f t="shared" si="181"/>
        <v>18</v>
      </c>
      <c r="S76" s="40">
        <f t="shared" si="181"/>
        <v>19</v>
      </c>
      <c r="T76" s="40">
        <f t="shared" si="181"/>
        <v>20</v>
      </c>
      <c r="U76" s="40">
        <f t="shared" si="181"/>
        <v>21</v>
      </c>
      <c r="V76" s="40">
        <f t="shared" si="181"/>
        <v>22</v>
      </c>
      <c r="W76" s="40">
        <f t="shared" si="181"/>
        <v>23</v>
      </c>
      <c r="X76" s="40">
        <f t="shared" si="181"/>
        <v>24</v>
      </c>
      <c r="Y76" s="40">
        <f t="shared" si="181"/>
        <v>25</v>
      </c>
      <c r="Z76" s="40">
        <f t="shared" si="181"/>
        <v>26</v>
      </c>
      <c r="AA76" s="40">
        <f t="shared" si="181"/>
        <v>27</v>
      </c>
      <c r="AB76" s="40">
        <f t="shared" si="181"/>
        <v>28</v>
      </c>
      <c r="AC76" s="40">
        <f t="shared" si="181"/>
        <v>29</v>
      </c>
      <c r="AD76" s="40">
        <f t="shared" si="181"/>
        <v>30</v>
      </c>
      <c r="AE76" s="40">
        <f t="shared" si="181"/>
        <v>31</v>
      </c>
      <c r="AF76" s="40">
        <f t="shared" si="181"/>
        <v>32</v>
      </c>
      <c r="AG76" s="40">
        <f t="shared" si="181"/>
        <v>33</v>
      </c>
      <c r="AH76" s="40">
        <f t="shared" si="181"/>
        <v>34</v>
      </c>
      <c r="AI76" s="40">
        <f t="shared" si="181"/>
        <v>35</v>
      </c>
      <c r="AJ76" s="40">
        <f t="shared" si="181"/>
        <v>36</v>
      </c>
      <c r="AK76" s="40">
        <f t="shared" si="181"/>
        <v>37</v>
      </c>
      <c r="AL76" s="40">
        <f t="shared" si="181"/>
        <v>38</v>
      </c>
      <c r="AM76" s="40">
        <f t="shared" si="181"/>
        <v>39</v>
      </c>
      <c r="AN76" s="40">
        <f t="shared" si="181"/>
        <v>40</v>
      </c>
      <c r="AO76" s="40">
        <f t="shared" si="181"/>
        <v>41</v>
      </c>
      <c r="AP76" s="40">
        <f t="shared" si="181"/>
        <v>42</v>
      </c>
      <c r="AQ76" s="40">
        <f t="shared" si="181"/>
        <v>43</v>
      </c>
      <c r="AR76" s="40">
        <f t="shared" si="181"/>
        <v>44</v>
      </c>
      <c r="AS76" s="40">
        <f t="shared" si="181"/>
        <v>45</v>
      </c>
      <c r="AT76" s="40">
        <f t="shared" si="181"/>
        <v>46</v>
      </c>
      <c r="AU76" s="40">
        <f t="shared" si="181"/>
        <v>47</v>
      </c>
      <c r="AV76" s="40">
        <f t="shared" si="181"/>
        <v>48</v>
      </c>
      <c r="AW76" s="40">
        <f t="shared" si="181"/>
        <v>49</v>
      </c>
      <c r="AX76" s="40">
        <f t="shared" si="181"/>
        <v>50</v>
      </c>
      <c r="AY76" s="40">
        <f t="shared" si="181"/>
        <v>51</v>
      </c>
      <c r="AZ76" s="40">
        <f t="shared" si="181"/>
        <v>52</v>
      </c>
      <c r="BA76" s="40">
        <f t="shared" si="181"/>
        <v>53</v>
      </c>
      <c r="BB76" s="40">
        <f t="shared" si="181"/>
        <v>54</v>
      </c>
      <c r="BC76" s="40">
        <f t="shared" ref="BC76" si="182">BB76+1</f>
        <v>55</v>
      </c>
      <c r="BD76" s="40">
        <f t="shared" ref="BD76" si="183">BC76+1</f>
        <v>56</v>
      </c>
      <c r="BE76" s="40">
        <f t="shared" ref="BE76" si="184">BD76+1</f>
        <v>57</v>
      </c>
      <c r="BF76" s="40">
        <f t="shared" ref="BF76:DX76" si="185">BE76+1</f>
        <v>58</v>
      </c>
      <c r="BG76" s="40">
        <f t="shared" si="185"/>
        <v>59</v>
      </c>
      <c r="BH76" s="40">
        <f t="shared" si="185"/>
        <v>60</v>
      </c>
      <c r="BI76" s="40">
        <f t="shared" si="185"/>
        <v>61</v>
      </c>
      <c r="BJ76" s="40">
        <f t="shared" si="185"/>
        <v>62</v>
      </c>
      <c r="BK76" s="40">
        <f t="shared" si="185"/>
        <v>63</v>
      </c>
      <c r="BL76" s="40">
        <f t="shared" si="185"/>
        <v>64</v>
      </c>
      <c r="BM76" s="40">
        <f t="shared" ref="BM76" si="186">BL76+1</f>
        <v>65</v>
      </c>
      <c r="BN76" s="40">
        <f t="shared" ref="BN76" si="187">BM76+1</f>
        <v>66</v>
      </c>
      <c r="BO76" s="40">
        <f t="shared" si="185"/>
        <v>67</v>
      </c>
      <c r="BP76" s="40">
        <f t="shared" si="185"/>
        <v>68</v>
      </c>
      <c r="BQ76" s="40">
        <f t="shared" si="185"/>
        <v>69</v>
      </c>
      <c r="BR76" s="40">
        <f t="shared" si="185"/>
        <v>70</v>
      </c>
      <c r="BS76" s="40">
        <f t="shared" si="185"/>
        <v>71</v>
      </c>
      <c r="BT76" s="40">
        <f t="shared" si="185"/>
        <v>72</v>
      </c>
      <c r="BU76" s="40">
        <f t="shared" si="185"/>
        <v>73</v>
      </c>
      <c r="BV76" s="40">
        <f t="shared" si="185"/>
        <v>74</v>
      </c>
      <c r="BW76" s="40">
        <f t="shared" si="185"/>
        <v>75</v>
      </c>
      <c r="BX76" s="40">
        <f t="shared" si="185"/>
        <v>76</v>
      </c>
      <c r="BY76" s="40">
        <f t="shared" si="185"/>
        <v>77</v>
      </c>
      <c r="BZ76" s="40">
        <f t="shared" si="185"/>
        <v>78</v>
      </c>
      <c r="CA76" s="40">
        <f t="shared" si="185"/>
        <v>79</v>
      </c>
      <c r="CB76" s="40">
        <f t="shared" si="185"/>
        <v>80</v>
      </c>
      <c r="CC76" s="40">
        <f t="shared" si="185"/>
        <v>81</v>
      </c>
      <c r="CD76" s="40">
        <f t="shared" si="185"/>
        <v>82</v>
      </c>
      <c r="CE76" s="40">
        <f t="shared" si="185"/>
        <v>83</v>
      </c>
      <c r="CF76" s="40">
        <f t="shared" si="185"/>
        <v>84</v>
      </c>
      <c r="CG76" s="40">
        <f t="shared" si="185"/>
        <v>85</v>
      </c>
      <c r="CH76" s="40">
        <f t="shared" si="185"/>
        <v>86</v>
      </c>
      <c r="CI76" s="40">
        <f t="shared" si="185"/>
        <v>87</v>
      </c>
      <c r="CJ76" s="40">
        <f t="shared" si="185"/>
        <v>88</v>
      </c>
      <c r="CK76" s="40">
        <f t="shared" si="185"/>
        <v>89</v>
      </c>
      <c r="CL76" s="40">
        <f t="shared" si="185"/>
        <v>90</v>
      </c>
      <c r="CM76" s="40">
        <f t="shared" si="185"/>
        <v>91</v>
      </c>
      <c r="CN76" s="40">
        <f t="shared" si="185"/>
        <v>92</v>
      </c>
      <c r="CO76" s="40">
        <f t="shared" si="185"/>
        <v>93</v>
      </c>
      <c r="CP76" s="40">
        <f t="shared" si="185"/>
        <v>94</v>
      </c>
      <c r="CQ76" s="40">
        <f t="shared" si="185"/>
        <v>95</v>
      </c>
      <c r="CR76" s="40">
        <f t="shared" si="185"/>
        <v>96</v>
      </c>
      <c r="CS76" s="40">
        <f t="shared" si="185"/>
        <v>97</v>
      </c>
      <c r="CT76" s="40">
        <f t="shared" si="185"/>
        <v>98</v>
      </c>
      <c r="CU76" s="40">
        <f t="shared" si="185"/>
        <v>99</v>
      </c>
      <c r="CV76" s="40">
        <f t="shared" ref="CV76" si="188">CU76+1</f>
        <v>100</v>
      </c>
      <c r="CW76" s="40">
        <f t="shared" ref="CW76" si="189">CV76+1</f>
        <v>101</v>
      </c>
      <c r="CX76" s="40">
        <f t="shared" si="185"/>
        <v>102</v>
      </c>
      <c r="CY76" s="40">
        <f t="shared" si="185"/>
        <v>103</v>
      </c>
      <c r="CZ76" s="40">
        <f t="shared" si="185"/>
        <v>104</v>
      </c>
      <c r="DA76" s="40">
        <f t="shared" si="185"/>
        <v>105</v>
      </c>
      <c r="DB76" s="40">
        <f t="shared" ref="DB76" si="190">DA76+1</f>
        <v>106</v>
      </c>
      <c r="DC76" s="40">
        <f t="shared" ref="DC76" si="191">DB76+1</f>
        <v>107</v>
      </c>
      <c r="DD76" s="40">
        <f t="shared" ref="DD76" si="192">DC76+1</f>
        <v>108</v>
      </c>
      <c r="DE76" s="40">
        <f t="shared" ref="DE76" si="193">DD76+1</f>
        <v>109</v>
      </c>
      <c r="DF76" s="40">
        <f t="shared" ref="DF76" si="194">DE76+1</f>
        <v>110</v>
      </c>
      <c r="DG76" s="40">
        <f t="shared" ref="DG76" si="195">DF76+1</f>
        <v>111</v>
      </c>
      <c r="DH76" s="40">
        <f t="shared" ref="DH76" si="196">DG76+1</f>
        <v>112</v>
      </c>
      <c r="DI76" s="40">
        <f t="shared" ref="DI76" si="197">DH76+1</f>
        <v>113</v>
      </c>
      <c r="DJ76" s="40">
        <f t="shared" ref="DJ76" si="198">DI76+1</f>
        <v>114</v>
      </c>
      <c r="DK76" s="40">
        <f t="shared" ref="DK76" si="199">DJ76+1</f>
        <v>115</v>
      </c>
      <c r="DL76" s="40">
        <f t="shared" ref="DL76" si="200">DK76+1</f>
        <v>116</v>
      </c>
      <c r="DM76" s="40">
        <f t="shared" ref="DM76" si="201">DL76+1</f>
        <v>117</v>
      </c>
      <c r="DN76" s="40">
        <f t="shared" ref="DN76" si="202">DM76+1</f>
        <v>118</v>
      </c>
      <c r="DO76" s="40">
        <f t="shared" ref="DO76" si="203">DN76+1</f>
        <v>119</v>
      </c>
      <c r="DP76" s="40">
        <f t="shared" ref="DP76" si="204">DO76+1</f>
        <v>120</v>
      </c>
      <c r="DQ76" s="40">
        <f t="shared" ref="DQ76" si="205">DP76+1</f>
        <v>121</v>
      </c>
      <c r="DR76" s="40">
        <f t="shared" ref="DR76" si="206">DQ76+1</f>
        <v>122</v>
      </c>
      <c r="DS76" s="40">
        <f t="shared" ref="DS76" si="207">DR76+1</f>
        <v>123</v>
      </c>
      <c r="DT76" s="40">
        <f t="shared" ref="DT76" si="208">DS76+1</f>
        <v>124</v>
      </c>
      <c r="DU76" s="40">
        <f t="shared" ref="DU76" si="209">DT76+1</f>
        <v>125</v>
      </c>
      <c r="DV76" s="40">
        <f t="shared" ref="DV76" si="210">DU76+1</f>
        <v>126</v>
      </c>
      <c r="DW76" s="40">
        <f t="shared" ref="DW76" si="211">DV76+1</f>
        <v>127</v>
      </c>
      <c r="DX76" s="40">
        <f t="shared" si="185"/>
        <v>128</v>
      </c>
      <c r="DZ76" s="40">
        <v>1</v>
      </c>
      <c r="EA76" s="40">
        <f>DZ76+1</f>
        <v>2</v>
      </c>
      <c r="EB76" s="40">
        <f>EA76+1</f>
        <v>3</v>
      </c>
    </row>
    <row r="77" spans="1:134" s="32" customFormat="1" ht="14" outlineLevel="1">
      <c r="A77" s="211"/>
      <c r="B77" s="265" t="str">
        <f>A74</f>
        <v>Swap Receipts</v>
      </c>
      <c r="C77" s="265"/>
      <c r="D77" s="265"/>
      <c r="E77" s="265"/>
      <c r="F77" s="211"/>
      <c r="G77" s="211"/>
      <c r="H77" s="211"/>
      <c r="I77" s="211"/>
      <c r="J77" s="211"/>
      <c r="K77" s="211"/>
      <c r="L77" s="211"/>
      <c r="R77" s="5"/>
      <c r="S77" s="5"/>
      <c r="T77" s="5"/>
      <c r="U77" s="5"/>
      <c r="V77" s="5"/>
      <c r="X77" s="5"/>
      <c r="Y77" s="5"/>
      <c r="Z77" s="5"/>
      <c r="AA77" s="5"/>
      <c r="BQ77" s="124"/>
      <c r="BX77" s="124"/>
      <c r="CB77" s="124"/>
      <c r="CJ77" s="124"/>
      <c r="EC77"/>
    </row>
    <row r="78" spans="1:134" s="33" customFormat="1" ht="14" outlineLevel="1">
      <c r="B78" s="3" t="s">
        <v>201</v>
      </c>
      <c r="C78" s="3" t="s">
        <v>202</v>
      </c>
      <c r="F78" s="150"/>
      <c r="G78" s="150"/>
      <c r="H78" s="150"/>
      <c r="I78" s="150"/>
      <c r="J78" s="150"/>
      <c r="K78" s="150"/>
      <c r="L78" s="3" t="s">
        <v>100</v>
      </c>
      <c r="M78" s="242" t="str">
        <f>M122</f>
        <v>1997 B Series</v>
      </c>
      <c r="N78" s="242"/>
      <c r="O78" s="242"/>
      <c r="P78" s="153"/>
      <c r="Q78" s="242" t="str">
        <f>Q122</f>
        <v>1997 C Series</v>
      </c>
      <c r="R78" s="242"/>
      <c r="S78" s="242"/>
      <c r="T78" s="153"/>
      <c r="U78" s="242" t="str">
        <f>U122</f>
        <v>1997 Series</v>
      </c>
      <c r="V78" s="242"/>
      <c r="W78" s="5"/>
      <c r="X78" s="243" t="str">
        <f>X$52</f>
        <v>1998 A Series</v>
      </c>
      <c r="Y78" s="243"/>
      <c r="Z78" s="243"/>
      <c r="AA78" s="5"/>
      <c r="AB78" s="244" t="str">
        <f>AB$52</f>
        <v>2002 C Series</v>
      </c>
      <c r="AC78" s="244"/>
      <c r="AD78" s="244"/>
      <c r="AE78" s="5"/>
      <c r="AF78" s="241" t="str">
        <f>AF$52</f>
        <v>2007 A Series</v>
      </c>
      <c r="AG78" s="241"/>
      <c r="AH78" s="241"/>
      <c r="AI78" s="148"/>
      <c r="AJ78" s="241" t="str">
        <f>AJ$52</f>
        <v>2007 B Series</v>
      </c>
      <c r="AK78" s="241"/>
      <c r="AL78" s="241"/>
      <c r="AM78" s="148"/>
      <c r="AN78" s="241" t="str">
        <f>AN$52</f>
        <v>2007 C1 Series</v>
      </c>
      <c r="AO78" s="241"/>
      <c r="AP78" s="241"/>
      <c r="AQ78" s="148"/>
      <c r="AR78" s="241" t="str">
        <f>AR$52</f>
        <v>2007 C2 Series</v>
      </c>
      <c r="AS78" s="241"/>
      <c r="AT78" s="241"/>
      <c r="AU78" s="148"/>
      <c r="AV78" s="252" t="str">
        <f>AV$52</f>
        <v>2007 Series</v>
      </c>
      <c r="AW78" s="252"/>
      <c r="AX78" s="3"/>
      <c r="AY78" s="246" t="str">
        <f>AY$52</f>
        <v>2018 A Series</v>
      </c>
      <c r="AZ78" s="246"/>
      <c r="BA78" s="246"/>
      <c r="BB78" s="156"/>
      <c r="BC78" s="246" t="str">
        <f>BC$52</f>
        <v>2018 D Series</v>
      </c>
      <c r="BD78" s="246"/>
      <c r="BE78" s="246"/>
      <c r="BF78" s="156"/>
      <c r="BG78" s="246" t="str">
        <f>BG$52</f>
        <v>2018 E Series</v>
      </c>
      <c r="BH78" s="246"/>
      <c r="BI78" s="246"/>
      <c r="BJ78" s="156"/>
      <c r="BK78" s="247" t="str">
        <f>BK$52</f>
        <v>2018 Series</v>
      </c>
      <c r="BL78" s="247"/>
      <c r="BM78" s="5"/>
      <c r="BN78" s="248" t="str">
        <f>BN$52</f>
        <v>2020 B Series</v>
      </c>
      <c r="BO78" s="248"/>
      <c r="BP78" s="248"/>
      <c r="BQ78" s="158"/>
      <c r="BR78" s="248" t="str">
        <f>BR$52</f>
        <v>2020 D Series</v>
      </c>
      <c r="BS78" s="248"/>
      <c r="BT78" s="248"/>
      <c r="BU78" s="159"/>
      <c r="BV78" s="248" t="str">
        <f>BV$52</f>
        <v>2020 BCD Series</v>
      </c>
      <c r="BW78" s="248"/>
      <c r="BX78" s="124"/>
      <c r="BY78" s="251" t="str">
        <f>BY$52</f>
        <v>2021 A Series</v>
      </c>
      <c r="BZ78" s="251"/>
      <c r="CA78" s="251"/>
      <c r="CB78" s="124"/>
      <c r="CC78" s="240" t="str">
        <f>CC$52</f>
        <v>2022 A Series</v>
      </c>
      <c r="CD78" s="240"/>
      <c r="CE78" s="240"/>
      <c r="CF78" s="160"/>
      <c r="CG78" s="240" t="str">
        <f>CG$52</f>
        <v>2022 B Series</v>
      </c>
      <c r="CH78" s="240"/>
      <c r="CI78" s="240"/>
      <c r="CJ78" s="160"/>
      <c r="CK78" s="240" t="str">
        <f>CK$52</f>
        <v>2022 C Series</v>
      </c>
      <c r="CL78" s="240"/>
      <c r="CM78" s="240"/>
      <c r="CN78" s="161"/>
      <c r="CO78" s="240" t="str">
        <f>CO$52</f>
        <v>2022 ABC Series</v>
      </c>
      <c r="CP78" s="240"/>
      <c r="CQ78" s="32"/>
      <c r="CR78" s="249" t="str">
        <f>CR$52</f>
        <v>2022 D Series</v>
      </c>
      <c r="CS78" s="249"/>
      <c r="CT78" s="249"/>
      <c r="CU78" s="163"/>
      <c r="CV78" s="249" t="str">
        <f>CV$52</f>
        <v>2022 E Series</v>
      </c>
      <c r="CW78" s="249"/>
      <c r="CX78" s="249"/>
      <c r="CY78" s="149"/>
      <c r="CZ78" s="249" t="str">
        <f>CZ$52</f>
        <v>2022 DE Series</v>
      </c>
      <c r="DA78" s="249"/>
      <c r="DB78" s="149"/>
      <c r="DC78" s="248" t="str">
        <f>DC$52</f>
        <v>2023 Series</v>
      </c>
      <c r="DD78" s="248"/>
      <c r="DE78" s="248"/>
      <c r="DF78" s="32"/>
      <c r="DG78" s="248" t="str">
        <f>DG$52</f>
        <v>2024 Series</v>
      </c>
      <c r="DH78" s="248"/>
      <c r="DI78" s="248"/>
      <c r="DJ78" s="152"/>
      <c r="DK78" s="248" t="str">
        <f>DK$52</f>
        <v>2025 Series</v>
      </c>
      <c r="DL78" s="248"/>
      <c r="DM78" s="248"/>
      <c r="DN78" s="152"/>
      <c r="DO78" s="248" t="str">
        <f>DO$52</f>
        <v>2026 Series</v>
      </c>
      <c r="DP78" s="248"/>
      <c r="DQ78" s="248"/>
      <c r="DR78" s="32"/>
      <c r="DS78" s="248" t="str">
        <f>DS$52</f>
        <v>2027 Series</v>
      </c>
      <c r="DT78" s="248"/>
      <c r="DU78" s="248"/>
      <c r="DV78" s="5"/>
      <c r="DW78" s="256" t="s">
        <v>173</v>
      </c>
      <c r="DX78" s="256"/>
      <c r="DZ78" s="264" t="s">
        <v>178</v>
      </c>
      <c r="EA78" s="264"/>
      <c r="EB78" s="264"/>
      <c r="EC78"/>
    </row>
    <row r="79" spans="1:134" s="33" customFormat="1" ht="14" outlineLevel="1">
      <c r="A79" s="4" t="s">
        <v>4</v>
      </c>
      <c r="B79" s="5" t="s">
        <v>169</v>
      </c>
      <c r="C79" s="5" t="s">
        <v>169</v>
      </c>
      <c r="D79" s="5" t="s">
        <v>16</v>
      </c>
      <c r="E79" s="5" t="s">
        <v>169</v>
      </c>
      <c r="F79" s="4"/>
      <c r="G79" s="4"/>
      <c r="H79" s="4"/>
      <c r="I79" s="4"/>
      <c r="J79" s="4"/>
      <c r="K79" s="4"/>
      <c r="L79" s="5" t="s">
        <v>101</v>
      </c>
      <c r="M79" s="153" t="s">
        <v>13</v>
      </c>
      <c r="N79" s="153" t="s">
        <v>12</v>
      </c>
      <c r="O79" s="153" t="s">
        <v>14</v>
      </c>
      <c r="P79" s="153"/>
      <c r="Q79" s="153" t="s">
        <v>13</v>
      </c>
      <c r="R79" s="153" t="s">
        <v>12</v>
      </c>
      <c r="S79" s="153" t="s">
        <v>14</v>
      </c>
      <c r="T79" s="153"/>
      <c r="U79" s="153" t="s">
        <v>13</v>
      </c>
      <c r="V79" s="153" t="s">
        <v>14</v>
      </c>
      <c r="W79" s="5"/>
      <c r="X79" s="130" t="s">
        <v>13</v>
      </c>
      <c r="Y79" s="130" t="s">
        <v>12</v>
      </c>
      <c r="Z79" s="130" t="s">
        <v>14</v>
      </c>
      <c r="AA79" s="5"/>
      <c r="AB79" s="154" t="s">
        <v>13</v>
      </c>
      <c r="AC79" s="154" t="s">
        <v>12</v>
      </c>
      <c r="AD79" s="154" t="s">
        <v>14</v>
      </c>
      <c r="AE79" s="5"/>
      <c r="AF79" s="148" t="s">
        <v>13</v>
      </c>
      <c r="AG79" s="148" t="s">
        <v>12</v>
      </c>
      <c r="AH79" s="148" t="s">
        <v>14</v>
      </c>
      <c r="AI79" s="148"/>
      <c r="AJ79" s="148"/>
      <c r="AK79" s="148"/>
      <c r="AL79" s="148"/>
      <c r="AM79" s="148"/>
      <c r="AN79" s="148" t="s">
        <v>13</v>
      </c>
      <c r="AO79" s="148" t="s">
        <v>12</v>
      </c>
      <c r="AP79" s="148" t="s">
        <v>14</v>
      </c>
      <c r="AQ79" s="148"/>
      <c r="AR79" s="148" t="s">
        <v>13</v>
      </c>
      <c r="AS79" s="148" t="s">
        <v>12</v>
      </c>
      <c r="AT79" s="148" t="s">
        <v>14</v>
      </c>
      <c r="AU79" s="148"/>
      <c r="AV79" s="148" t="s">
        <v>13</v>
      </c>
      <c r="AW79" s="148" t="s">
        <v>14</v>
      </c>
      <c r="AX79" s="82"/>
      <c r="AY79" s="157" t="s">
        <v>13</v>
      </c>
      <c r="AZ79" s="157" t="s">
        <v>12</v>
      </c>
      <c r="BA79" s="157" t="s">
        <v>14</v>
      </c>
      <c r="BB79" s="156"/>
      <c r="BC79" s="157" t="s">
        <v>13</v>
      </c>
      <c r="BD79" s="157" t="s">
        <v>12</v>
      </c>
      <c r="BE79" s="157" t="s">
        <v>14</v>
      </c>
      <c r="BF79" s="156"/>
      <c r="BG79" s="157" t="s">
        <v>13</v>
      </c>
      <c r="BH79" s="157" t="s">
        <v>12</v>
      </c>
      <c r="BI79" s="157" t="s">
        <v>14</v>
      </c>
      <c r="BJ79" s="156"/>
      <c r="BK79" s="157" t="s">
        <v>13</v>
      </c>
      <c r="BL79" s="157" t="s">
        <v>14</v>
      </c>
      <c r="BM79" s="5"/>
      <c r="BN79" s="152" t="s">
        <v>13</v>
      </c>
      <c r="BO79" s="152" t="s">
        <v>12</v>
      </c>
      <c r="BP79" s="152" t="s">
        <v>14</v>
      </c>
      <c r="BQ79" s="158"/>
      <c r="BR79" s="152"/>
      <c r="BS79" s="152"/>
      <c r="BT79" s="152"/>
      <c r="BU79" s="159"/>
      <c r="BV79" s="152" t="s">
        <v>13</v>
      </c>
      <c r="BW79" s="152" t="s">
        <v>5</v>
      </c>
      <c r="BX79" s="124"/>
      <c r="BY79" s="44" t="s">
        <v>13</v>
      </c>
      <c r="BZ79" s="44" t="s">
        <v>12</v>
      </c>
      <c r="CA79" s="44" t="s">
        <v>14</v>
      </c>
      <c r="CB79" s="124"/>
      <c r="CC79" s="161" t="s">
        <v>13</v>
      </c>
      <c r="CD79" s="161" t="s">
        <v>12</v>
      </c>
      <c r="CE79" s="161" t="s">
        <v>14</v>
      </c>
      <c r="CF79" s="160"/>
      <c r="CG79" s="161"/>
      <c r="CH79" s="161"/>
      <c r="CI79" s="161"/>
      <c r="CJ79" s="160"/>
      <c r="CK79" s="161" t="s">
        <v>13</v>
      </c>
      <c r="CL79" s="161" t="s">
        <v>12</v>
      </c>
      <c r="CM79" s="161" t="s">
        <v>14</v>
      </c>
      <c r="CN79" s="161"/>
      <c r="CO79" s="161" t="s">
        <v>13</v>
      </c>
      <c r="CP79" s="161" t="s">
        <v>14</v>
      </c>
      <c r="CQ79" s="32"/>
      <c r="CR79" s="149" t="s">
        <v>13</v>
      </c>
      <c r="CS79" s="149" t="s">
        <v>12</v>
      </c>
      <c r="CT79" s="149" t="s">
        <v>5</v>
      </c>
      <c r="CU79" s="163"/>
      <c r="CV79" s="149" t="s">
        <v>13</v>
      </c>
      <c r="CW79" s="149" t="s">
        <v>12</v>
      </c>
      <c r="CX79" s="149" t="s">
        <v>5</v>
      </c>
      <c r="CY79" s="149"/>
      <c r="CZ79" s="149" t="s">
        <v>13</v>
      </c>
      <c r="DA79" s="149" t="s">
        <v>5</v>
      </c>
      <c r="DB79" s="149"/>
      <c r="DC79" s="152" t="s">
        <v>13</v>
      </c>
      <c r="DD79" s="152" t="s">
        <v>12</v>
      </c>
      <c r="DE79" s="152" t="s">
        <v>5</v>
      </c>
      <c r="DF79" s="32"/>
      <c r="DG79" s="152" t="s">
        <v>13</v>
      </c>
      <c r="DH79" s="152" t="s">
        <v>12</v>
      </c>
      <c r="DI79" s="152" t="s">
        <v>5</v>
      </c>
      <c r="DJ79" s="152"/>
      <c r="DK79" s="152" t="s">
        <v>13</v>
      </c>
      <c r="DL79" s="152" t="s">
        <v>12</v>
      </c>
      <c r="DM79" s="152" t="s">
        <v>5</v>
      </c>
      <c r="DN79" s="152"/>
      <c r="DO79" s="152" t="s">
        <v>13</v>
      </c>
      <c r="DP79" s="152" t="s">
        <v>12</v>
      </c>
      <c r="DQ79" s="152" t="s">
        <v>5</v>
      </c>
      <c r="DR79" s="32"/>
      <c r="DS79" s="152" t="s">
        <v>13</v>
      </c>
      <c r="DT79" s="152" t="s">
        <v>12</v>
      </c>
      <c r="DU79" s="152" t="s">
        <v>5</v>
      </c>
      <c r="DV79" s="5"/>
      <c r="DW79" s="197" t="s">
        <v>13</v>
      </c>
      <c r="DX79" s="197" t="s">
        <v>14</v>
      </c>
      <c r="DZ79" s="44" t="s">
        <v>4</v>
      </c>
      <c r="EA79" s="44" t="s">
        <v>179</v>
      </c>
      <c r="EB79" s="44" t="s">
        <v>15</v>
      </c>
      <c r="EC79"/>
    </row>
    <row r="80" spans="1:134" s="6" customFormat="1" outlineLevel="1">
      <c r="Z80" s="87"/>
      <c r="AA80" s="87"/>
      <c r="BO80" s="77"/>
      <c r="BS80" s="77"/>
      <c r="BZ80" s="77"/>
      <c r="CD80" s="77"/>
      <c r="CH80" s="77"/>
      <c r="CL80" s="77"/>
      <c r="CQ80" s="32"/>
    </row>
    <row r="81" spans="1:134" s="33" customFormat="1" outlineLevel="1">
      <c r="A81" s="7">
        <f>A$11</f>
        <v>2024</v>
      </c>
      <c r="B81" s="151">
        <f>Assumptions!B8</f>
        <v>5.3800000000000001E-2</v>
      </c>
      <c r="C81" s="151">
        <f>Assumptions!C8</f>
        <v>5.3800000000000001E-2</v>
      </c>
      <c r="D81" s="151">
        <f>Assumptions!D8</f>
        <v>3.5000000000000003E-2</v>
      </c>
      <c r="E81" s="151">
        <f>Assumptions!E8</f>
        <v>5.2999999999999999E-2</v>
      </c>
      <c r="F81" s="8"/>
      <c r="G81" s="8"/>
      <c r="H81" s="8"/>
      <c r="I81" s="8"/>
      <c r="J81" s="8"/>
      <c r="K81" s="8"/>
      <c r="L81" s="8"/>
      <c r="M81" s="87">
        <f t="shared" ref="M81:M117" si="212">M11</f>
        <v>0</v>
      </c>
      <c r="N81" s="77">
        <f t="shared" ref="N81:N117" si="213">IF($A81&gt;M$128, "   ",M$124)</f>
        <v>5.3600000000000002E-2</v>
      </c>
      <c r="O81" s="87">
        <f>IF($A81&gt;M$58, 0, SUM(M81:M$117)*N81*M$133/M$134+SUM(M82:M$117)*(M$134-M$133)/M$134*N81)</f>
        <v>365284</v>
      </c>
      <c r="P81" s="35"/>
      <c r="Q81" s="87">
        <f t="shared" ref="Q81:Q117" si="214">Q11</f>
        <v>0</v>
      </c>
      <c r="R81" s="77">
        <f t="shared" ref="R81:R117" si="215">IF($A81&gt;Q$128, "   ",Q$124)</f>
        <v>5.3600000000000002E-2</v>
      </c>
      <c r="S81" s="87">
        <f>IF($A81&gt;Q$58, 0, SUM(Q81:Q$117)*R81*Q$133/Q$134+SUM(Q82:Q$117)*(Q$134-Q$133)/Q$134*R81)</f>
        <v>536000</v>
      </c>
      <c r="T81" s="35"/>
      <c r="U81" s="35">
        <f t="shared" ref="U81:U111" si="216">M81+Q81</f>
        <v>0</v>
      </c>
      <c r="V81" s="35">
        <f t="shared" ref="V81:V111" si="217">O81+S81</f>
        <v>901284</v>
      </c>
      <c r="W81" s="35"/>
      <c r="X81" s="87">
        <f t="shared" ref="X81:X117" si="218">X11</f>
        <v>0</v>
      </c>
      <c r="Y81" s="77">
        <f t="shared" ref="Y81:Y117" si="219">IF($A81&gt;X$128, "   ",X$124)</f>
        <v>4.7570000000000001E-2</v>
      </c>
      <c r="Z81" s="87">
        <f>IF($A81&gt;X$58, 0, SUM(X81:X$117)*Y81*X$133/X$134+SUM(X82:X$117)*(X$134-X$133)/X$134*Y81)</f>
        <v>10443279.950000001</v>
      </c>
      <c r="AA81" s="87"/>
      <c r="AB81" s="87">
        <f t="shared" ref="AB81:AB117" si="220">AB11</f>
        <v>0</v>
      </c>
      <c r="AC81" s="77">
        <f t="shared" ref="AC81:AC117" si="221">IF($A81&gt;AB$128, "   ",AB$124)</f>
        <v>4.675E-2</v>
      </c>
      <c r="AD81" s="87">
        <f>IF($A81&gt;AB$58, 0, SUM(AB81:AB$117)*AC81*AB$133/AB$134+SUM(AB82:AB$117)*(AB$134-AB$133)/AB$134*AC81)</f>
        <v>5843750</v>
      </c>
      <c r="AE81" s="35"/>
      <c r="AF81" s="87">
        <f t="shared" ref="AF81:AF117" si="222">AF11</f>
        <v>0</v>
      </c>
      <c r="AG81" s="77">
        <f t="shared" ref="AG81:AG117" si="223">IF($A81&gt;AF$128, "   ",AF$124)</f>
        <v>4.274E-2</v>
      </c>
      <c r="AH81" s="87">
        <f>IF($A81&gt;AF$58, 0, SUM(AF81:AF$117)*AG81*AF$133/AF$134+SUM(AF82:AF$117)*(AF$134-AF$133)/AF$134*AG81)</f>
        <v>427400</v>
      </c>
      <c r="AI81" s="35"/>
      <c r="AJ81" s="87"/>
      <c r="AK81" s="77"/>
      <c r="AL81" s="87"/>
      <c r="AM81" s="35"/>
      <c r="AN81" s="87">
        <f t="shared" ref="AN81:AN117" si="224">IF($A81=AN$128, AN$123, 0)</f>
        <v>0</v>
      </c>
      <c r="AO81" s="77">
        <f>IF($A81&gt;AN$128, "   ", IF(AN$124="VRDB", $D81+$E81+#REF!, IF(AN$124="1M LIBOR", $B81*AN$125+AN$126, IF(AN$124="3M LIBOR", $C81*AN$125+AN$126, IF(AN$124="R-FLOATs", $D81+#REF!+#REF!, 0)))))</f>
        <v>4.2546E-2</v>
      </c>
      <c r="AP81" s="87">
        <f>IF($A81&gt;AN$128, 0, SUM(AN81:AN$117)*AO81*AN$133/AN$134+SUM(AN82:AN$117)*AO81*AN$133/AN$134)</f>
        <v>2127300</v>
      </c>
      <c r="AQ81" s="35"/>
      <c r="AR81" s="87">
        <f t="shared" ref="AR81:AR117" si="225">AR11</f>
        <v>0</v>
      </c>
      <c r="AS81" s="77">
        <f>IF($A81&gt;AR$128, "   ", IF(AR$124="VRDB", $D81+$E81+#REF!, IF(AR$124="1M LIBOR", $B81*AR$125+AR$126, IF(AR$124="3M LIBOR", $C81*AR$125+AR$126, IF(AR$124="R-FLOATs", $D81+#REF!+#REF!, 0)))))</f>
        <v>4.3546000000000001E-2</v>
      </c>
      <c r="AT81" s="87">
        <f>IF($A81&gt;AR$128, 0, SUM(AR81:AR$117)*AS81*AR$133/AR$134+SUM(AR82:AR$117)*AS81*AR$133/AR$134)</f>
        <v>2177300</v>
      </c>
      <c r="AV81" s="35">
        <f t="shared" ref="AV81:AV111" si="226">AF81+AJ81+AN81+AR81</f>
        <v>0</v>
      </c>
      <c r="AW81" s="35">
        <f t="shared" ref="AW81:AW111" si="227">AH81+AL81+AP81+AT81</f>
        <v>4732000</v>
      </c>
      <c r="AX81" s="35"/>
      <c r="AY81" s="87">
        <f t="shared" ref="AY81:AY117" si="228">AY11</f>
        <v>0</v>
      </c>
      <c r="AZ81" s="77">
        <f t="shared" ref="AZ81:AZ117" si="229">IF($A81&gt;AY$128, "   ",AY$124)</f>
        <v>2.2499999999999999E-2</v>
      </c>
      <c r="BA81" s="87">
        <f>IF($A81&gt;AY$58, 0, SUM(AY81:AY$117)*AZ81*AY$133/AY$134+SUM(AY82:AY$117)*(AY$134-AY$133)/AY$134*AZ81)</f>
        <v>225000</v>
      </c>
      <c r="BB81" s="61"/>
      <c r="BC81" s="87">
        <f t="shared" ref="BC81:BC117" si="230">BC11</f>
        <v>0</v>
      </c>
      <c r="BD81" s="77">
        <f t="shared" ref="BD81:BD117" si="231">IF($A81&gt;BC$128, "   ", $B81*BC$125+BC$126)</f>
        <v>3.9621000000000003E-2</v>
      </c>
      <c r="BE81" s="87">
        <f>IF($A81&gt;BC$128, 0, SUM(BC81:BC$117)*BD81*BC$133/BC$134+SUM(BC82:BC$117)*BD81*BC$133/BC$134)</f>
        <v>990525</v>
      </c>
      <c r="BF81" s="61"/>
      <c r="BG81" s="87">
        <f t="shared" ref="BG81:BG117" si="232">BG11</f>
        <v>0</v>
      </c>
      <c r="BH81" s="77">
        <f t="shared" ref="BH81:BH117" si="233">IF($A81&gt;BG$128, "   ", $B81*BG$125+BG$126)</f>
        <v>3.9646000000000001E-2</v>
      </c>
      <c r="BI81" s="87">
        <f>IF($A81&gt;BG$128, 0, SUM(BG81:BG$117)*BH81*BG$133/BG$134+SUM(BG82:BG$117)*BH81*BG$133/BG$134)</f>
        <v>2477875</v>
      </c>
      <c r="BJ81" s="61"/>
      <c r="BK81" s="35">
        <f>AY81+BC81+BG81</f>
        <v>0</v>
      </c>
      <c r="BL81" s="35">
        <f>BA81+BE81+BI81</f>
        <v>3693400</v>
      </c>
      <c r="BM81" s="8"/>
      <c r="BN81" s="87">
        <f t="shared" ref="BN81:BN117" si="234">BN11</f>
        <v>50000000</v>
      </c>
      <c r="BO81" s="77">
        <f t="shared" ref="BO81:BO117" si="235">IF($A81&gt;BN$128, "   ",BN$124)</f>
        <v>6.1999999999999998E-3</v>
      </c>
      <c r="BP81" s="87">
        <f>IF($A81&gt;BN$58, 0, SUM(BN81:BN$117)*BO81*BN$133/BN$134+SUM(BN82:BN$117)*(BN$134-BN$133)/BN$134*BO81)</f>
        <v>310000</v>
      </c>
      <c r="BQ81" s="77"/>
      <c r="BR81" s="87"/>
      <c r="BS81" s="77"/>
      <c r="BT81" s="87"/>
      <c r="BU81" s="87"/>
      <c r="BV81" s="35">
        <f>BN81+BR81</f>
        <v>50000000</v>
      </c>
      <c r="BW81" s="35">
        <f>BP81+BT81</f>
        <v>310000</v>
      </c>
      <c r="BX81" s="87"/>
      <c r="BY81" s="87">
        <f t="shared" ref="BY81:BY117" si="236">BY11</f>
        <v>0</v>
      </c>
      <c r="BZ81" s="77">
        <f t="shared" ref="BZ81:BZ117" si="237">IF($A81&gt;BY$128, "   ",BY$124)</f>
        <v>8.8500000000000002E-3</v>
      </c>
      <c r="CA81" s="87">
        <f>IF($A81&gt;BY$58, 0, SUM(BY81:BY$117)*BZ81*BY$133/BY$134+SUM(BY82:BY$117)*(BY$134-BY$133)/BY$134*BZ81)</f>
        <v>398250</v>
      </c>
      <c r="CB81" s="87"/>
      <c r="CC81" s="87">
        <f t="shared" ref="CC81:CC117" si="238">CC11</f>
        <v>0</v>
      </c>
      <c r="CD81" s="77">
        <f t="shared" ref="CD81:CD117" si="239">IF($A81&gt;CC$128, "   ",CC$124)</f>
        <v>1.482E-2</v>
      </c>
      <c r="CE81" s="87">
        <f>IF($A81&gt;CC$58, 0, SUM(CC81:CC$117)*CD81*CC$133/CC$134+SUM(CC82:CC$117)*(CC$134-CC$133)/CC$134*CD81)</f>
        <v>74100</v>
      </c>
      <c r="CF81" s="87"/>
      <c r="CG81" s="87"/>
      <c r="CH81" s="77"/>
      <c r="CI81" s="87"/>
      <c r="CJ81" s="87"/>
      <c r="CK81" s="87">
        <f t="shared" ref="CK81:CK117" si="240">CK11</f>
        <v>0</v>
      </c>
      <c r="CL81" s="77">
        <f t="shared" ref="CL81:CL117" si="241">IF($A81&gt;CK$128, "   ",$E81*CK$125+CK$126)</f>
        <v>3.8449999999999998E-2</v>
      </c>
      <c r="CM81" s="87">
        <f>IF($A81&gt;CK$58, 0, SUM(CK81:CK$117)*CL81*CK$133/CK$134+SUM(CK82:CK$117)*(CK$134-CK$133)/CK$134*CL81)</f>
        <v>2883750</v>
      </c>
      <c r="CN81" s="8"/>
      <c r="CO81" s="162">
        <f t="shared" ref="CO81:CO117" si="242">CC81+CG81+CK81</f>
        <v>0</v>
      </c>
      <c r="CP81" s="87">
        <f t="shared" ref="CP81:CP117" si="243">CE81+CI81+CM81</f>
        <v>2957850</v>
      </c>
      <c r="CQ81" s="32"/>
      <c r="CR81" s="87">
        <f t="shared" ref="CR81:CR117" si="244">CR11</f>
        <v>0</v>
      </c>
      <c r="CS81" s="77">
        <f t="shared" ref="CS81:CS117" si="245">IF($A81&gt;CR$128, "   ",CR$124)</f>
        <v>2.4920000000000001E-2</v>
      </c>
      <c r="CT81" s="87">
        <f>IF($A81&gt;CR$58, 0, SUM(CR81:CR$117)*CS81*CR$133/CR$134+SUM(CR82:CR$117)*(CR$134-CR$133)/CR$134*CS81)</f>
        <v>548240</v>
      </c>
      <c r="CZ81" s="165">
        <f t="shared" ref="CZ81:CZ117" si="246">CR81+CV81</f>
        <v>0</v>
      </c>
      <c r="DA81" s="165">
        <f t="shared" ref="DA81:DA117" si="247">CT81++CX81</f>
        <v>548240</v>
      </c>
      <c r="DB81" s="87"/>
      <c r="DC81" s="87">
        <f>IF(OR($A81&lt;DC$58, $A81&gt;DC$60), 0, VLOOKUP($A81, DC$58:DD$60, 2, FALSE))</f>
        <v>0</v>
      </c>
      <c r="DD81" s="77" t="str">
        <f t="shared" ref="DD81:DD117" si="248">IF(OR($A81&lt;DC$128, $A81&gt;DC$130), "---", VLOOKUP($A81, DC$128:DE$130, 3, FALSE))</f>
        <v>---</v>
      </c>
      <c r="DE81" s="87">
        <f t="shared" ref="DE81:DE116" si="249">IF($A81&gt;DC$130, 0, IF($A81&lt;DC$128, DE82, ROUND(((DC81*DD81)+DE82)/2+DE82/2, 2)))</f>
        <v>2130963.2999999998</v>
      </c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W81" s="165">
        <f>AV81+BK81+BV81+BY81+CO81+CZ81+DC81+DG81+DK81+DO81+DS81</f>
        <v>50000000</v>
      </c>
      <c r="DX81" s="165">
        <f>AW81+BL81+BW81+CA81+CP81+DA81+DE81+DI81+DM81+DQ81+DU81</f>
        <v>14770703.300000001</v>
      </c>
      <c r="DY81" s="8"/>
      <c r="DZ81" s="53">
        <f t="shared" ref="DZ81:DZ117" si="250">A81</f>
        <v>2024</v>
      </c>
      <c r="EA81" s="35">
        <f t="shared" ref="EA81:EA117" si="251">U81+X81+AB81+DW81</f>
        <v>50000000</v>
      </c>
      <c r="EB81" s="35">
        <f t="shared" ref="EB81:EB117" si="252">V81+Z81+AD81+DX81</f>
        <v>31959017.250000004</v>
      </c>
      <c r="EC81" s="35"/>
      <c r="ED81" s="205">
        <v>1</v>
      </c>
    </row>
    <row r="82" spans="1:134" s="33" customFormat="1" outlineLevel="1">
      <c r="A82" s="7">
        <f t="shared" ref="A82:A117" si="253">A81+1</f>
        <v>2025</v>
      </c>
      <c r="B82" s="151">
        <f>Assumptions!B9</f>
        <v>5.3800000000000001E-2</v>
      </c>
      <c r="C82" s="151">
        <f>Assumptions!C9</f>
        <v>5.3800000000000001E-2</v>
      </c>
      <c r="D82" s="151">
        <f>Assumptions!D9</f>
        <v>3.5000000000000003E-2</v>
      </c>
      <c r="E82" s="151">
        <f>Assumptions!E9</f>
        <v>5.2999999999999999E-2</v>
      </c>
      <c r="F82" s="8"/>
      <c r="G82" s="8"/>
      <c r="H82" s="8"/>
      <c r="I82" s="8"/>
      <c r="J82" s="8"/>
      <c r="K82" s="8"/>
      <c r="L82" s="8"/>
      <c r="M82" s="87">
        <f t="shared" si="212"/>
        <v>0</v>
      </c>
      <c r="N82" s="77">
        <f t="shared" si="213"/>
        <v>5.3600000000000002E-2</v>
      </c>
      <c r="O82" s="87">
        <f>IF($A82&gt;M$58, 0, SUM(M82:M$117)*N82*M$133/M$134+SUM(M83:M$117)*(M$134-M$133)/M$134*N82)</f>
        <v>365284</v>
      </c>
      <c r="P82" s="35"/>
      <c r="Q82" s="87">
        <f t="shared" si="214"/>
        <v>0</v>
      </c>
      <c r="R82" s="77">
        <f t="shared" si="215"/>
        <v>5.3600000000000002E-2</v>
      </c>
      <c r="S82" s="87">
        <f>IF($A82&gt;Q$58, 0, SUM(Q82:Q$117)*R82*Q$133/Q$134+SUM(Q83:Q$117)*(Q$134-Q$133)/Q$134*R82)</f>
        <v>536000</v>
      </c>
      <c r="T82" s="35"/>
      <c r="U82" s="35">
        <f t="shared" si="216"/>
        <v>0</v>
      </c>
      <c r="V82" s="35">
        <f t="shared" si="217"/>
        <v>901284</v>
      </c>
      <c r="W82" s="35"/>
      <c r="X82" s="87">
        <f t="shared" si="218"/>
        <v>0</v>
      </c>
      <c r="Y82" s="77">
        <f t="shared" si="219"/>
        <v>4.7570000000000001E-2</v>
      </c>
      <c r="Z82" s="87">
        <f>IF($A82&gt;X$58, 0, SUM(X82:X$117)*Y82*X$133/X$134+SUM(X83:X$117)*(X$134-X$133)/X$134*Y82)</f>
        <v>10443279.950000001</v>
      </c>
      <c r="AA82" s="87"/>
      <c r="AB82" s="87">
        <f t="shared" si="220"/>
        <v>0</v>
      </c>
      <c r="AC82" s="77">
        <f t="shared" si="221"/>
        <v>4.675E-2</v>
      </c>
      <c r="AD82" s="87">
        <f>IF($A82&gt;AB$58, 0, SUM(AB82:AB$117)*AC82*AB$133/AB$134+SUM(AB83:AB$117)*(AB$134-AB$133)/AB$134*AC82)</f>
        <v>5843750</v>
      </c>
      <c r="AE82" s="35"/>
      <c r="AF82" s="87">
        <f t="shared" si="222"/>
        <v>0</v>
      </c>
      <c r="AG82" s="77">
        <f t="shared" si="223"/>
        <v>4.274E-2</v>
      </c>
      <c r="AH82" s="87">
        <f>IF($A82&gt;AF$58, 0, SUM(AF82:AF$117)*AG82*AF$133/AF$134+SUM(AF83:AF$117)*(AF$134-AF$133)/AF$134*AG82)</f>
        <v>427400</v>
      </c>
      <c r="AI82" s="35"/>
      <c r="AJ82" s="87"/>
      <c r="AK82" s="77"/>
      <c r="AL82" s="87"/>
      <c r="AM82" s="35"/>
      <c r="AN82" s="87">
        <f t="shared" si="224"/>
        <v>0</v>
      </c>
      <c r="AO82" s="77">
        <f>IF($A82&gt;AN$128, "   ", IF(AN$124="VRDB", $D82+$E82+#REF!, IF(AN$124="1M LIBOR", $B82*AN$125+AN$126, IF(AN$124="3M LIBOR", $C82*AN$125+AN$126, IF(AN$124="R-FLOATs", $D82+#REF!+#REF!, 0)))))</f>
        <v>4.2546E-2</v>
      </c>
      <c r="AP82" s="87">
        <f>IF($A82&gt;AN$128, 0, SUM(AN82:AN$117)*AO82*AN$133/AN$134+SUM(AN83:AN$117)*AO82*AN$133/AN$134)</f>
        <v>2127300</v>
      </c>
      <c r="AQ82" s="35"/>
      <c r="AR82" s="87">
        <f t="shared" si="225"/>
        <v>0</v>
      </c>
      <c r="AS82" s="77">
        <f>IF($A82&gt;AR$128, "   ", IF(AR$124="VRDB", $D82+$E82+#REF!, IF(AR$124="1M LIBOR", $B82*AR$125+AR$126, IF(AR$124="3M LIBOR", $C82*AR$125+AR$126, IF(AR$124="R-FLOATs", $D82+#REF!+#REF!, 0)))))</f>
        <v>4.3546000000000001E-2</v>
      </c>
      <c r="AT82" s="87">
        <f>IF($A82&gt;AR$128, 0, SUM(AR82:AR$117)*AS82*AR$133/AR$134+SUM(AR83:AR$117)*AS82*AR$133/AR$134)</f>
        <v>2177300</v>
      </c>
      <c r="AV82" s="35">
        <f t="shared" si="226"/>
        <v>0</v>
      </c>
      <c r="AW82" s="35">
        <f t="shared" si="227"/>
        <v>4732000</v>
      </c>
      <c r="AX82" s="35"/>
      <c r="AY82" s="87">
        <f t="shared" si="228"/>
        <v>0</v>
      </c>
      <c r="AZ82" s="77">
        <f t="shared" si="229"/>
        <v>2.2499999999999999E-2</v>
      </c>
      <c r="BA82" s="87">
        <f>IF($A82&gt;AY$58, 0, SUM(AY82:AY$117)*AZ82*AY$133/AY$134+SUM(AY83:AY$117)*(AY$134-AY$133)/AY$134*AZ82)</f>
        <v>225000</v>
      </c>
      <c r="BB82" s="61"/>
      <c r="BC82" s="87">
        <f t="shared" si="230"/>
        <v>0</v>
      </c>
      <c r="BD82" s="77">
        <f t="shared" si="231"/>
        <v>3.9621000000000003E-2</v>
      </c>
      <c r="BE82" s="87">
        <f>IF($A82&gt;BC$128, 0, SUM(BC82:BC$117)*BD82*BC$133/BC$134+SUM(BC83:BC$117)*BD82*BC$133/BC$134)</f>
        <v>990525</v>
      </c>
      <c r="BF82" s="61"/>
      <c r="BG82" s="87">
        <f t="shared" si="232"/>
        <v>0</v>
      </c>
      <c r="BH82" s="77">
        <f t="shared" si="233"/>
        <v>3.9646000000000001E-2</v>
      </c>
      <c r="BI82" s="87">
        <f>IF($A82&gt;BG$128, 0, SUM(BG82:BG$117)*BH82*BG$133/BG$134+SUM(BG83:BG$117)*BH82*BG$133/BG$134)</f>
        <v>2477875</v>
      </c>
      <c r="BJ82" s="61"/>
      <c r="BK82" s="35">
        <f t="shared" ref="BK82:BK117" si="254">AY82+BC82+BG82</f>
        <v>0</v>
      </c>
      <c r="BL82" s="35">
        <f t="shared" ref="BL82:BL117" si="255">BA82+BE82+BI82</f>
        <v>3693400</v>
      </c>
      <c r="BM82" s="8"/>
      <c r="BN82" s="87">
        <f t="shared" si="234"/>
        <v>0</v>
      </c>
      <c r="BO82" s="77" t="str">
        <f t="shared" si="235"/>
        <v xml:space="preserve">   </v>
      </c>
      <c r="BP82" s="87">
        <f>IF($A82&gt;BN$58, 0, SUM(BN82:BN$117)*BO82*BN$133/BN$134+SUM(BN83:BN$117)*(BN$134-BN$133)/BN$134*BO82)</f>
        <v>0</v>
      </c>
      <c r="BQ82" s="77"/>
      <c r="BR82" s="87"/>
      <c r="BS82" s="77"/>
      <c r="BT82" s="87"/>
      <c r="BU82" s="87"/>
      <c r="BV82" s="35">
        <f t="shared" ref="BV82:BV117" si="256">BN82+BR82</f>
        <v>0</v>
      </c>
      <c r="BW82" s="35">
        <f t="shared" ref="BW82:BW117" si="257">BP82+BT82</f>
        <v>0</v>
      </c>
      <c r="BX82" s="87"/>
      <c r="BY82" s="87">
        <f t="shared" si="236"/>
        <v>0</v>
      </c>
      <c r="BZ82" s="77">
        <f t="shared" si="237"/>
        <v>8.8500000000000002E-3</v>
      </c>
      <c r="CA82" s="87">
        <f>IF($A82&gt;BY$58, 0, SUM(BY82:BY$117)*BZ82*BY$133/BY$134+SUM(BY83:BY$117)*(BY$134-BY$133)/BY$134*BZ82)</f>
        <v>398250</v>
      </c>
      <c r="CB82" s="87"/>
      <c r="CC82" s="87">
        <f t="shared" si="238"/>
        <v>0</v>
      </c>
      <c r="CD82" s="77">
        <f t="shared" si="239"/>
        <v>1.482E-2</v>
      </c>
      <c r="CE82" s="87">
        <f>IF($A82&gt;CC$58, 0, SUM(CC82:CC$117)*CD82*CC$133/CC$134+SUM(CC83:CC$117)*(CC$134-CC$133)/CC$134*CD82)</f>
        <v>74100</v>
      </c>
      <c r="CF82" s="87"/>
      <c r="CG82" s="87"/>
      <c r="CH82" s="77"/>
      <c r="CI82" s="87"/>
      <c r="CJ82" s="87"/>
      <c r="CK82" s="87">
        <f t="shared" si="240"/>
        <v>0</v>
      </c>
      <c r="CL82" s="77">
        <f t="shared" si="241"/>
        <v>3.8449999999999998E-2</v>
      </c>
      <c r="CM82" s="87">
        <f>IF($A82&gt;CK$58, 0, SUM(CK82:CK$117)*CL82*CK$133/CK$134+SUM(CK83:CK$117)*(CK$134-CK$133)/CK$134*CL82)</f>
        <v>2883750</v>
      </c>
      <c r="CN82" s="8"/>
      <c r="CO82" s="162">
        <f t="shared" si="242"/>
        <v>0</v>
      </c>
      <c r="CP82" s="87">
        <f t="shared" si="243"/>
        <v>2957850</v>
      </c>
      <c r="CQ82" s="32"/>
      <c r="CR82" s="87">
        <f t="shared" si="244"/>
        <v>0</v>
      </c>
      <c r="CS82" s="77">
        <f t="shared" si="245"/>
        <v>2.4920000000000001E-2</v>
      </c>
      <c r="CT82" s="87">
        <f>IF($A82&gt;CR$58, 0, SUM(CR82:CR$117)*CS82*CR$133/CR$134+SUM(CR83:CR$117)*(CR$134-CR$133)/CR$134*CS82)</f>
        <v>548240</v>
      </c>
      <c r="CZ82" s="165">
        <f t="shared" si="246"/>
        <v>0</v>
      </c>
      <c r="DA82" s="165">
        <f t="shared" si="247"/>
        <v>548240</v>
      </c>
      <c r="DB82" s="87"/>
      <c r="DC82" s="87">
        <f t="shared" ref="DC82:DC117" si="258">IF(OR($A82&lt;DC$58, $A82&gt;DC$60), 0, VLOOKUP($A82, DC$58:DD$60, 2, FALSE))</f>
        <v>0</v>
      </c>
      <c r="DD82" s="77" t="str">
        <f t="shared" si="248"/>
        <v>---</v>
      </c>
      <c r="DE82" s="87">
        <f t="shared" si="249"/>
        <v>2130963.2999999998</v>
      </c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W82" s="165">
        <f t="shared" ref="DW82:DW117" si="259">AV82+BK82+BV82+BY82+CO82+CZ82+DC82+DG82+DK82+DO82+DS82</f>
        <v>0</v>
      </c>
      <c r="DX82" s="165">
        <f t="shared" ref="DX82:DX117" si="260">AW82+BL82+BW82+CA82+CP82+DA82+DE82+DI82+DM82+DQ82+DU82</f>
        <v>14460703.300000001</v>
      </c>
      <c r="DY82" s="8"/>
      <c r="DZ82" s="53">
        <f t="shared" si="250"/>
        <v>2025</v>
      </c>
      <c r="EA82" s="35">
        <f t="shared" si="251"/>
        <v>0</v>
      </c>
      <c r="EB82" s="35">
        <f t="shared" si="252"/>
        <v>31649017.250000004</v>
      </c>
      <c r="EC82" s="35"/>
      <c r="ED82" s="49">
        <f t="shared" ref="ED82:ED117" si="261">ED81+1</f>
        <v>2</v>
      </c>
    </row>
    <row r="83" spans="1:134" s="33" customFormat="1" outlineLevel="1">
      <c r="A83" s="7">
        <f t="shared" si="253"/>
        <v>2026</v>
      </c>
      <c r="B83" s="151">
        <f>Assumptions!B10</f>
        <v>5.3800000000000001E-2</v>
      </c>
      <c r="C83" s="151">
        <f>Assumptions!C10</f>
        <v>5.3800000000000001E-2</v>
      </c>
      <c r="D83" s="151">
        <f>Assumptions!D10</f>
        <v>3.5000000000000003E-2</v>
      </c>
      <c r="E83" s="151">
        <f>Assumptions!E10</f>
        <v>5.2999999999999999E-2</v>
      </c>
      <c r="F83" s="8"/>
      <c r="G83" s="8"/>
      <c r="H83" s="8"/>
      <c r="I83" s="8"/>
      <c r="J83" s="8"/>
      <c r="K83" s="8"/>
      <c r="L83" s="8"/>
      <c r="M83" s="87">
        <f t="shared" si="212"/>
        <v>0</v>
      </c>
      <c r="N83" s="77">
        <f t="shared" si="213"/>
        <v>5.3600000000000002E-2</v>
      </c>
      <c r="O83" s="87">
        <f>IF($A83&gt;M$58, 0, SUM(M83:M$117)*N83*M$133/M$134+SUM(M84:M$117)*(M$134-M$133)/M$134*N83)</f>
        <v>365284</v>
      </c>
      <c r="P83" s="35"/>
      <c r="Q83" s="87">
        <f t="shared" si="214"/>
        <v>0</v>
      </c>
      <c r="R83" s="77">
        <f t="shared" si="215"/>
        <v>5.3600000000000002E-2</v>
      </c>
      <c r="S83" s="87">
        <f>IF($A83&gt;Q$58, 0, SUM(Q83:Q$117)*R83*Q$133/Q$134+SUM(Q84:Q$117)*(Q$134-Q$133)/Q$134*R83)</f>
        <v>536000</v>
      </c>
      <c r="T83" s="35"/>
      <c r="U83" s="35">
        <f t="shared" si="216"/>
        <v>0</v>
      </c>
      <c r="V83" s="35">
        <f t="shared" si="217"/>
        <v>901284</v>
      </c>
      <c r="W83" s="35"/>
      <c r="X83" s="87">
        <f t="shared" si="218"/>
        <v>0</v>
      </c>
      <c r="Y83" s="77">
        <f t="shared" si="219"/>
        <v>4.7570000000000001E-2</v>
      </c>
      <c r="Z83" s="87">
        <f>IF($A83&gt;X$58, 0, SUM(X83:X$117)*Y83*X$133/X$134+SUM(X84:X$117)*(X$134-X$133)/X$134*Y83)</f>
        <v>10443279.950000001</v>
      </c>
      <c r="AA83" s="87"/>
      <c r="AB83" s="87">
        <f t="shared" si="220"/>
        <v>0</v>
      </c>
      <c r="AC83" s="77">
        <f t="shared" si="221"/>
        <v>4.675E-2</v>
      </c>
      <c r="AD83" s="87">
        <f>IF($A83&gt;AB$58, 0, SUM(AB83:AB$117)*AC83*AB$133/AB$134+SUM(AB84:AB$117)*(AB$134-AB$133)/AB$134*AC83)</f>
        <v>5843750</v>
      </c>
      <c r="AE83" s="35"/>
      <c r="AF83" s="87">
        <f t="shared" si="222"/>
        <v>0</v>
      </c>
      <c r="AG83" s="77">
        <f t="shared" si="223"/>
        <v>4.274E-2</v>
      </c>
      <c r="AH83" s="87">
        <f>IF($A83&gt;AF$58, 0, SUM(AF83:AF$117)*AG83*AF$133/AF$134+SUM(AF84:AF$117)*(AF$134-AF$133)/AF$134*AG83)</f>
        <v>427400</v>
      </c>
      <c r="AI83" s="35"/>
      <c r="AJ83" s="87"/>
      <c r="AK83" s="77"/>
      <c r="AL83" s="87"/>
      <c r="AM83" s="35"/>
      <c r="AN83" s="87">
        <f t="shared" si="224"/>
        <v>0</v>
      </c>
      <c r="AO83" s="77">
        <f>IF($A83&gt;AN$128, "   ", IF(AN$124="VRDB", $D83+$E83+#REF!, IF(AN$124="1M LIBOR", $B83*AN$125+AN$126, IF(AN$124="3M LIBOR", $C83*AN$125+AN$126, IF(AN$124="R-FLOATs", $D83+#REF!+#REF!, 0)))))</f>
        <v>4.2546E-2</v>
      </c>
      <c r="AP83" s="87">
        <f>IF($A83&gt;AN$128, 0, SUM(AN83:AN$117)*AO83*AN$133/AN$134+SUM(AN84:AN$117)*AO83*AN$133/AN$134)</f>
        <v>2127300</v>
      </c>
      <c r="AQ83" s="35"/>
      <c r="AR83" s="87">
        <f t="shared" si="225"/>
        <v>0</v>
      </c>
      <c r="AS83" s="77">
        <f>IF($A83&gt;AR$128, "   ", IF(AR$124="VRDB", $D83+$E83+#REF!, IF(AR$124="1M LIBOR", $B83*AR$125+AR$126, IF(AR$124="3M LIBOR", $C83*AR$125+AR$126, IF(AR$124="R-FLOATs", $D83+#REF!+#REF!, 0)))))</f>
        <v>4.3546000000000001E-2</v>
      </c>
      <c r="AT83" s="87">
        <f>IF($A83&gt;AR$128, 0, SUM(AR83:AR$117)*AS83*AR$133/AR$134+SUM(AR84:AR$117)*AS83*AR$133/AR$134)</f>
        <v>2177300</v>
      </c>
      <c r="AV83" s="35">
        <f t="shared" si="226"/>
        <v>0</v>
      </c>
      <c r="AW83" s="35">
        <f t="shared" si="227"/>
        <v>4732000</v>
      </c>
      <c r="AX83" s="35"/>
      <c r="AY83" s="87">
        <f t="shared" si="228"/>
        <v>0</v>
      </c>
      <c r="AZ83" s="77">
        <f t="shared" si="229"/>
        <v>2.2499999999999999E-2</v>
      </c>
      <c r="BA83" s="87">
        <f>IF($A83&gt;AY$58, 0, SUM(AY83:AY$117)*AZ83*AY$133/AY$134+SUM(AY84:AY$117)*(AY$134-AY$133)/AY$134*AZ83)</f>
        <v>225000</v>
      </c>
      <c r="BB83" s="61"/>
      <c r="BC83" s="87">
        <f t="shared" si="230"/>
        <v>0</v>
      </c>
      <c r="BD83" s="77">
        <f t="shared" si="231"/>
        <v>3.9621000000000003E-2</v>
      </c>
      <c r="BE83" s="87">
        <f>IF($A83&gt;BC$128, 0, SUM(BC83:BC$117)*BD83*BC$133/BC$134+SUM(BC84:BC$117)*BD83*BC$133/BC$134)</f>
        <v>990525</v>
      </c>
      <c r="BF83" s="61"/>
      <c r="BG83" s="87">
        <f t="shared" si="232"/>
        <v>0</v>
      </c>
      <c r="BH83" s="77">
        <f t="shared" si="233"/>
        <v>3.9646000000000001E-2</v>
      </c>
      <c r="BI83" s="87">
        <f>IF($A83&gt;BG$128, 0, SUM(BG83:BG$117)*BH83*BG$133/BG$134+SUM(BG84:BG$117)*BH83*BG$133/BG$134)</f>
        <v>2477875</v>
      </c>
      <c r="BJ83" s="61"/>
      <c r="BK83" s="35">
        <f t="shared" si="254"/>
        <v>0</v>
      </c>
      <c r="BL83" s="35">
        <f t="shared" si="255"/>
        <v>3693400</v>
      </c>
      <c r="BM83" s="8"/>
      <c r="BN83" s="87">
        <f t="shared" si="234"/>
        <v>0</v>
      </c>
      <c r="BO83" s="77" t="str">
        <f t="shared" si="235"/>
        <v xml:space="preserve">   </v>
      </c>
      <c r="BP83" s="87">
        <f>IF($A83&gt;BN$58, 0, SUM(BN83:BN$117)*BO83*BN$133/BN$134+SUM(BN84:BN$117)*(BN$134-BN$133)/BN$134*BO83)</f>
        <v>0</v>
      </c>
      <c r="BQ83" s="77"/>
      <c r="BR83" s="87"/>
      <c r="BS83" s="77"/>
      <c r="BT83" s="87"/>
      <c r="BU83" s="87"/>
      <c r="BV83" s="35">
        <f t="shared" si="256"/>
        <v>0</v>
      </c>
      <c r="BW83" s="35">
        <f t="shared" si="257"/>
        <v>0</v>
      </c>
      <c r="BX83" s="87"/>
      <c r="BY83" s="87">
        <f t="shared" si="236"/>
        <v>0</v>
      </c>
      <c r="BZ83" s="77">
        <f t="shared" si="237"/>
        <v>8.8500000000000002E-3</v>
      </c>
      <c r="CA83" s="87">
        <f>IF($A83&gt;BY$58, 0, SUM(BY83:BY$117)*BZ83*BY$133/BY$134+SUM(BY84:BY$117)*(BY$134-BY$133)/BY$134*BZ83)</f>
        <v>398250</v>
      </c>
      <c r="CB83" s="87"/>
      <c r="CC83" s="87">
        <f t="shared" si="238"/>
        <v>0</v>
      </c>
      <c r="CD83" s="77">
        <f t="shared" si="239"/>
        <v>1.482E-2</v>
      </c>
      <c r="CE83" s="87">
        <f>IF($A83&gt;CC$58, 0, SUM(CC83:CC$117)*CD83*CC$133/CC$134+SUM(CC84:CC$117)*(CC$134-CC$133)/CC$134*CD83)</f>
        <v>74100</v>
      </c>
      <c r="CF83" s="87"/>
      <c r="CG83" s="87"/>
      <c r="CH83" s="77"/>
      <c r="CI83" s="87"/>
      <c r="CJ83" s="87"/>
      <c r="CK83" s="87">
        <f t="shared" si="240"/>
        <v>0</v>
      </c>
      <c r="CL83" s="77">
        <f t="shared" si="241"/>
        <v>3.8449999999999998E-2</v>
      </c>
      <c r="CM83" s="87">
        <f>IF($A83&gt;CK$58, 0, SUM(CK83:CK$117)*CL83*CK$133/CK$134+SUM(CK84:CK$117)*(CK$134-CK$133)/CK$134*CL83)</f>
        <v>2883750</v>
      </c>
      <c r="CN83" s="8"/>
      <c r="CO83" s="162">
        <f t="shared" si="242"/>
        <v>0</v>
      </c>
      <c r="CP83" s="87">
        <f t="shared" si="243"/>
        <v>2957850</v>
      </c>
      <c r="CQ83" s="32"/>
      <c r="CR83" s="87">
        <f t="shared" si="244"/>
        <v>0</v>
      </c>
      <c r="CS83" s="77">
        <f t="shared" si="245"/>
        <v>2.4920000000000001E-2</v>
      </c>
      <c r="CT83" s="87">
        <f>IF($A83&gt;CR$58, 0, SUM(CR83:CR$117)*CS83*CR$133/CR$134+SUM(CR84:CR$117)*(CR$134-CR$133)/CR$134*CS83)</f>
        <v>548240</v>
      </c>
      <c r="CZ83" s="165">
        <f t="shared" si="246"/>
        <v>0</v>
      </c>
      <c r="DA83" s="165">
        <f t="shared" si="247"/>
        <v>548240</v>
      </c>
      <c r="DB83" s="87"/>
      <c r="DC83" s="87">
        <f t="shared" si="258"/>
        <v>0</v>
      </c>
      <c r="DD83" s="77" t="str">
        <f t="shared" si="248"/>
        <v>---</v>
      </c>
      <c r="DE83" s="87">
        <f t="shared" si="249"/>
        <v>2130963.2999999998</v>
      </c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W83" s="165">
        <f t="shared" si="259"/>
        <v>0</v>
      </c>
      <c r="DX83" s="165">
        <f t="shared" si="260"/>
        <v>14460703.300000001</v>
      </c>
      <c r="DY83" s="8"/>
      <c r="DZ83" s="53">
        <f t="shared" si="250"/>
        <v>2026</v>
      </c>
      <c r="EA83" s="35">
        <f t="shared" si="251"/>
        <v>0</v>
      </c>
      <c r="EB83" s="35">
        <f t="shared" si="252"/>
        <v>31649017.250000004</v>
      </c>
      <c r="EC83" s="35"/>
      <c r="ED83" s="49">
        <f t="shared" si="261"/>
        <v>3</v>
      </c>
    </row>
    <row r="84" spans="1:134" s="33" customFormat="1" outlineLevel="1">
      <c r="A84" s="7">
        <f t="shared" si="253"/>
        <v>2027</v>
      </c>
      <c r="B84" s="151">
        <f>Assumptions!B11</f>
        <v>5.3800000000000001E-2</v>
      </c>
      <c r="C84" s="151">
        <f>Assumptions!C11</f>
        <v>5.3800000000000001E-2</v>
      </c>
      <c r="D84" s="151">
        <f>Assumptions!D11</f>
        <v>3.5000000000000003E-2</v>
      </c>
      <c r="E84" s="151">
        <f>Assumptions!E11</f>
        <v>5.2999999999999999E-2</v>
      </c>
      <c r="F84" s="8"/>
      <c r="G84" s="8"/>
      <c r="H84" s="8"/>
      <c r="I84" s="8"/>
      <c r="J84" s="8"/>
      <c r="K84" s="8"/>
      <c r="L84" s="8"/>
      <c r="M84" s="87">
        <f t="shared" si="212"/>
        <v>6815000</v>
      </c>
      <c r="N84" s="77">
        <f t="shared" si="213"/>
        <v>5.3600000000000002E-2</v>
      </c>
      <c r="O84" s="87">
        <f>IF($A84&gt;M$58, 0, SUM(M84:M$117)*N84*M$133/M$134+SUM(M85:M$117)*(M$134-M$133)/M$134*N84)</f>
        <v>365284</v>
      </c>
      <c r="P84" s="35"/>
      <c r="Q84" s="87">
        <f t="shared" si="214"/>
        <v>10000000</v>
      </c>
      <c r="R84" s="77">
        <f t="shared" si="215"/>
        <v>5.3600000000000002E-2</v>
      </c>
      <c r="S84" s="87">
        <f>IF($A84&gt;Q$58, 0, SUM(Q84:Q$117)*R84*Q$133/Q$134+SUM(Q85:Q$117)*(Q$134-Q$133)/Q$134*R84)</f>
        <v>536000</v>
      </c>
      <c r="T84" s="35"/>
      <c r="U84" s="35">
        <f t="shared" si="216"/>
        <v>16815000</v>
      </c>
      <c r="V84" s="35">
        <f t="shared" si="217"/>
        <v>901284</v>
      </c>
      <c r="W84" s="35"/>
      <c r="X84" s="87">
        <f t="shared" si="218"/>
        <v>0</v>
      </c>
      <c r="Y84" s="77">
        <f t="shared" si="219"/>
        <v>4.7570000000000001E-2</v>
      </c>
      <c r="Z84" s="87">
        <f>IF($A84&gt;X$58, 0, SUM(X84:X$117)*Y84*X$133/X$134+SUM(X85:X$117)*(X$134-X$133)/X$134*Y84)</f>
        <v>10443279.950000001</v>
      </c>
      <c r="AA84" s="87"/>
      <c r="AB84" s="87">
        <f t="shared" si="220"/>
        <v>0</v>
      </c>
      <c r="AC84" s="77">
        <f t="shared" si="221"/>
        <v>4.675E-2</v>
      </c>
      <c r="AD84" s="87">
        <f>IF($A84&gt;AB$58, 0, SUM(AB84:AB$117)*AC84*AB$133/AB$134+SUM(AB85:AB$117)*(AB$134-AB$133)/AB$134*AC84)</f>
        <v>5843750</v>
      </c>
      <c r="AE84" s="35"/>
      <c r="AF84" s="87">
        <f t="shared" si="222"/>
        <v>0</v>
      </c>
      <c r="AG84" s="77">
        <f t="shared" si="223"/>
        <v>4.274E-2</v>
      </c>
      <c r="AH84" s="87">
        <f>IF($A84&gt;AF$58, 0, SUM(AF84:AF$117)*AG84*AF$133/AF$134+SUM(AF85:AF$117)*(AF$134-AF$133)/AF$134*AG84)</f>
        <v>427400</v>
      </c>
      <c r="AI84" s="35"/>
      <c r="AJ84" s="87"/>
      <c r="AK84" s="77"/>
      <c r="AL84" s="87"/>
      <c r="AM84" s="35"/>
      <c r="AN84" s="87">
        <f t="shared" si="224"/>
        <v>50000000</v>
      </c>
      <c r="AO84" s="77">
        <f>IF($A84&gt;AN$128, "   ", IF(AN$124="VRDB", $D84+$E84+#REF!, IF(AN$124="1M LIBOR", $B84*AN$125+AN$126, IF(AN$124="3M LIBOR", $C84*AN$125+AN$126, IF(AN$124="R-FLOATs", $D84+#REF!+#REF!, 0)))))</f>
        <v>4.2546E-2</v>
      </c>
      <c r="AP84" s="87">
        <f>IF($A84&gt;AN$128, 0, SUM(AN84:AN$117)*AO84*AN$133/AN$134+SUM(AN85:AN$117)*AO84*AN$133/AN$134)</f>
        <v>1063650</v>
      </c>
      <c r="AQ84" s="35"/>
      <c r="AR84" s="87">
        <f t="shared" si="225"/>
        <v>0</v>
      </c>
      <c r="AS84" s="77">
        <f>IF($A84&gt;AR$128, "   ", IF(AR$124="VRDB", $D84+$E84+#REF!, IF(AR$124="1M LIBOR", $B84*AR$125+AR$126, IF(AR$124="3M LIBOR", $C84*AR$125+AR$126, IF(AR$124="R-FLOATs", $D84+#REF!+#REF!, 0)))))</f>
        <v>4.3546000000000001E-2</v>
      </c>
      <c r="AT84" s="87">
        <f>IF($A84&gt;AR$128, 0, SUM(AR84:AR$117)*AS84*AR$133/AR$134+SUM(AR85:AR$117)*AS84*AR$133/AR$134)</f>
        <v>2177300</v>
      </c>
      <c r="AV84" s="35">
        <f t="shared" si="226"/>
        <v>50000000</v>
      </c>
      <c r="AW84" s="35">
        <f t="shared" si="227"/>
        <v>3668350</v>
      </c>
      <c r="AX84" s="35"/>
      <c r="AY84" s="87">
        <f t="shared" si="228"/>
        <v>0</v>
      </c>
      <c r="AZ84" s="77">
        <f t="shared" si="229"/>
        <v>2.2499999999999999E-2</v>
      </c>
      <c r="BA84" s="87">
        <f>IF($A84&gt;AY$58, 0, SUM(AY84:AY$117)*AZ84*AY$133/AY$134+SUM(AY85:AY$117)*(AY$134-AY$133)/AY$134*AZ84)</f>
        <v>225000</v>
      </c>
      <c r="BB84" s="61"/>
      <c r="BC84" s="87">
        <f t="shared" si="230"/>
        <v>0</v>
      </c>
      <c r="BD84" s="77">
        <f t="shared" si="231"/>
        <v>3.9621000000000003E-2</v>
      </c>
      <c r="BE84" s="87">
        <f>IF($A84&gt;BC$128, 0, SUM(BC84:BC$117)*BD84*BC$133/BC$134+SUM(BC85:BC$117)*BD84*BC$133/BC$134)</f>
        <v>990525</v>
      </c>
      <c r="BF84" s="61"/>
      <c r="BG84" s="87">
        <f t="shared" si="232"/>
        <v>0</v>
      </c>
      <c r="BH84" s="77">
        <f t="shared" si="233"/>
        <v>3.9646000000000001E-2</v>
      </c>
      <c r="BI84" s="87">
        <f>IF($A84&gt;BG$128, 0, SUM(BG84:BG$117)*BH84*BG$133/BG$134+SUM(BG85:BG$117)*BH84*BG$133/BG$134)</f>
        <v>2477875</v>
      </c>
      <c r="BJ84" s="61"/>
      <c r="BK84" s="35">
        <f t="shared" si="254"/>
        <v>0</v>
      </c>
      <c r="BL84" s="35">
        <f t="shared" si="255"/>
        <v>3693400</v>
      </c>
      <c r="BM84" s="8"/>
      <c r="BN84" s="87">
        <f t="shared" si="234"/>
        <v>0</v>
      </c>
      <c r="BO84" s="77" t="str">
        <f t="shared" si="235"/>
        <v xml:space="preserve">   </v>
      </c>
      <c r="BP84" s="87">
        <f>IF($A84&gt;BN$58, 0, SUM(BN84:BN$117)*BO84*BN$133/BN$134+SUM(BN85:BN$117)*(BN$134-BN$133)/BN$134*BO84)</f>
        <v>0</v>
      </c>
      <c r="BQ84" s="77"/>
      <c r="BR84" s="87"/>
      <c r="BS84" s="77"/>
      <c r="BT84" s="87"/>
      <c r="BU84" s="87"/>
      <c r="BV84" s="35">
        <f t="shared" si="256"/>
        <v>0</v>
      </c>
      <c r="BW84" s="35">
        <f t="shared" si="257"/>
        <v>0</v>
      </c>
      <c r="BX84" s="87"/>
      <c r="BY84" s="87">
        <f t="shared" si="236"/>
        <v>0</v>
      </c>
      <c r="BZ84" s="77">
        <f t="shared" si="237"/>
        <v>8.8500000000000002E-3</v>
      </c>
      <c r="CA84" s="87">
        <f>IF($A84&gt;BY$58, 0, SUM(BY84:BY$117)*BZ84*BY$133/BY$134+SUM(BY85:BY$117)*(BY$134-BY$133)/BY$134*BZ84)</f>
        <v>398250</v>
      </c>
      <c r="CB84" s="87"/>
      <c r="CC84" s="87">
        <f t="shared" si="238"/>
        <v>0</v>
      </c>
      <c r="CD84" s="77">
        <f t="shared" si="239"/>
        <v>1.482E-2</v>
      </c>
      <c r="CE84" s="87">
        <f>IF($A84&gt;CC$58, 0, SUM(CC84:CC$117)*CD84*CC$133/CC$134+SUM(CC85:CC$117)*(CC$134-CC$133)/CC$134*CD84)</f>
        <v>74100</v>
      </c>
      <c r="CF84" s="87"/>
      <c r="CG84" s="87"/>
      <c r="CH84" s="77"/>
      <c r="CI84" s="87"/>
      <c r="CJ84" s="87"/>
      <c r="CK84" s="87">
        <f t="shared" si="240"/>
        <v>0</v>
      </c>
      <c r="CL84" s="77">
        <f t="shared" si="241"/>
        <v>3.8449999999999998E-2</v>
      </c>
      <c r="CM84" s="87">
        <f>IF($A84&gt;CK$58, 0, SUM(CK84:CK$117)*CL84*CK$133/CK$134+SUM(CK85:CK$117)*(CK$134-CK$133)/CK$134*CL84)</f>
        <v>2883750</v>
      </c>
      <c r="CN84" s="87"/>
      <c r="CO84" s="162">
        <f t="shared" si="242"/>
        <v>0</v>
      </c>
      <c r="CP84" s="87">
        <f t="shared" si="243"/>
        <v>2957850</v>
      </c>
      <c r="CQ84" s="32"/>
      <c r="CR84" s="87">
        <f t="shared" si="244"/>
        <v>0</v>
      </c>
      <c r="CS84" s="77">
        <f t="shared" si="245"/>
        <v>2.4920000000000001E-2</v>
      </c>
      <c r="CT84" s="87">
        <f>IF($A84&gt;CR$58, 0, SUM(CR84:CR$117)*CS84*CR$133/CR$134+SUM(CR85:CR$117)*(CR$134-CR$133)/CR$134*CS84)</f>
        <v>548240</v>
      </c>
      <c r="CZ84" s="165">
        <f t="shared" si="246"/>
        <v>0</v>
      </c>
      <c r="DA84" s="165">
        <f t="shared" si="247"/>
        <v>548240</v>
      </c>
      <c r="DB84" s="87"/>
      <c r="DC84" s="87">
        <f t="shared" si="258"/>
        <v>0</v>
      </c>
      <c r="DD84" s="77" t="str">
        <f t="shared" si="248"/>
        <v>---</v>
      </c>
      <c r="DE84" s="87">
        <f t="shared" si="249"/>
        <v>2130963.2999999998</v>
      </c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W84" s="165">
        <f t="shared" si="259"/>
        <v>50000000</v>
      </c>
      <c r="DX84" s="165">
        <f t="shared" si="260"/>
        <v>13397053.300000001</v>
      </c>
      <c r="DY84" s="87"/>
      <c r="DZ84" s="53">
        <f t="shared" si="250"/>
        <v>2027</v>
      </c>
      <c r="EA84" s="35">
        <f t="shared" si="251"/>
        <v>66815000</v>
      </c>
      <c r="EB84" s="35">
        <f t="shared" si="252"/>
        <v>30585367.250000004</v>
      </c>
      <c r="EC84" s="35"/>
      <c r="ED84" s="49">
        <f t="shared" si="261"/>
        <v>4</v>
      </c>
    </row>
    <row r="85" spans="1:134" s="33" customFormat="1" outlineLevel="1">
      <c r="A85" s="7">
        <f t="shared" si="253"/>
        <v>2028</v>
      </c>
      <c r="B85" s="151">
        <f>Assumptions!B12</f>
        <v>5.3800000000000001E-2</v>
      </c>
      <c r="C85" s="151">
        <f>Assumptions!C12</f>
        <v>5.3800000000000001E-2</v>
      </c>
      <c r="D85" s="151">
        <f>Assumptions!D12</f>
        <v>3.5000000000000003E-2</v>
      </c>
      <c r="E85" s="151">
        <f>Assumptions!E12</f>
        <v>5.2999999999999999E-2</v>
      </c>
      <c r="F85" s="8"/>
      <c r="G85" s="8"/>
      <c r="H85" s="8"/>
      <c r="I85" s="8"/>
      <c r="J85" s="8"/>
      <c r="K85" s="8"/>
      <c r="L85" s="8"/>
      <c r="M85" s="87">
        <f t="shared" si="212"/>
        <v>0</v>
      </c>
      <c r="N85" s="77" t="str">
        <f t="shared" si="213"/>
        <v xml:space="preserve">   </v>
      </c>
      <c r="O85" s="87">
        <f>IF($A85&gt;M$58, 0, SUM(M85:M$117)*N85*M$133/M$134+SUM(M86:M$117)*(M$134-M$133)/M$134*N85)</f>
        <v>0</v>
      </c>
      <c r="P85" s="35"/>
      <c r="Q85" s="87">
        <f t="shared" si="214"/>
        <v>0</v>
      </c>
      <c r="R85" s="77" t="str">
        <f t="shared" si="215"/>
        <v xml:space="preserve">   </v>
      </c>
      <c r="S85" s="87">
        <f>IF($A85&gt;Q$58, 0, SUM(Q85:Q$117)*R85*Q$133/Q$134+SUM(Q86:Q$117)*(Q$134-Q$133)/Q$134*R85)</f>
        <v>0</v>
      </c>
      <c r="T85" s="35"/>
      <c r="U85" s="35">
        <f t="shared" si="216"/>
        <v>0</v>
      </c>
      <c r="V85" s="35">
        <f t="shared" si="217"/>
        <v>0</v>
      </c>
      <c r="W85" s="35"/>
      <c r="X85" s="87">
        <f t="shared" si="218"/>
        <v>219535000</v>
      </c>
      <c r="Y85" s="77">
        <f t="shared" si="219"/>
        <v>4.7570000000000001E-2</v>
      </c>
      <c r="Z85" s="87">
        <f>IF($A85&gt;X$58, 0, SUM(X85:X$117)*Y85*X$133/X$134+SUM(X86:X$117)*(X$134-X$133)/X$134*Y85)</f>
        <v>10443279.950000001</v>
      </c>
      <c r="AA85" s="87"/>
      <c r="AB85" s="87">
        <f t="shared" si="220"/>
        <v>0</v>
      </c>
      <c r="AC85" s="77">
        <f t="shared" si="221"/>
        <v>4.675E-2</v>
      </c>
      <c r="AD85" s="87">
        <f>IF($A85&gt;AB$58, 0, SUM(AB85:AB$117)*AC85*AB$133/AB$134+SUM(AB86:AB$117)*(AB$134-AB$133)/AB$134*AC85)</f>
        <v>5843750</v>
      </c>
      <c r="AE85" s="35"/>
      <c r="AF85" s="87">
        <f t="shared" si="222"/>
        <v>0</v>
      </c>
      <c r="AG85" s="77">
        <f t="shared" si="223"/>
        <v>4.274E-2</v>
      </c>
      <c r="AH85" s="87">
        <f>IF($A85&gt;AF$58, 0, SUM(AF85:AF$117)*AG85*AF$133/AF$134+SUM(AF86:AF$117)*(AF$134-AF$133)/AF$134*AG85)</f>
        <v>427400</v>
      </c>
      <c r="AI85" s="35"/>
      <c r="AJ85" s="87"/>
      <c r="AK85" s="77"/>
      <c r="AL85" s="87"/>
      <c r="AM85" s="35"/>
      <c r="AN85" s="87">
        <f t="shared" si="224"/>
        <v>0</v>
      </c>
      <c r="AO85" s="77" t="str">
        <f>IF($A85&gt;AN$128, "   ", IF(AN$124="VRDB", $D85+$E85+#REF!, IF(AN$124="1M LIBOR", $B85*AN$125+AN$126, IF(AN$124="3M LIBOR", $C85*AN$125+AN$126, IF(AN$124="R-FLOATs", $D85+#REF!+#REF!, 0)))))</f>
        <v xml:space="preserve">   </v>
      </c>
      <c r="AP85" s="87">
        <f>IF($A85&gt;AN$128, 0, SUM(AN85:AN$117)*AO85*AN$133/AN$134+SUM(AN86:AN$117)*AO85*AN$133/AN$134)</f>
        <v>0</v>
      </c>
      <c r="AQ85" s="35"/>
      <c r="AR85" s="87">
        <f t="shared" si="225"/>
        <v>0</v>
      </c>
      <c r="AS85" s="77">
        <f>IF($A85&gt;AR$128, "   ", IF(AR$124="VRDB", $D85+$E85+#REF!, IF(AR$124="1M LIBOR", $B85*AR$125+AR$126, IF(AR$124="3M LIBOR", $C85*AR$125+AR$126, IF(AR$124="R-FLOATs", $D85+#REF!+#REF!, 0)))))</f>
        <v>4.3546000000000001E-2</v>
      </c>
      <c r="AT85" s="87">
        <f>IF($A85&gt;AR$128, 0, SUM(AR85:AR$117)*AS85*AR$133/AR$134+SUM(AR86:AR$117)*AS85*AR$133/AR$134)</f>
        <v>2177300</v>
      </c>
      <c r="AV85" s="35">
        <f t="shared" si="226"/>
        <v>0</v>
      </c>
      <c r="AW85" s="35">
        <f t="shared" si="227"/>
        <v>2604700</v>
      </c>
      <c r="AX85" s="35"/>
      <c r="AY85" s="87">
        <f t="shared" si="228"/>
        <v>0</v>
      </c>
      <c r="AZ85" s="77">
        <f t="shared" si="229"/>
        <v>2.2499999999999999E-2</v>
      </c>
      <c r="BA85" s="87">
        <f>IF($A85&gt;AY$58, 0, SUM(AY85:AY$117)*AZ85*AY$133/AY$134+SUM(AY86:AY$117)*(AY$134-AY$133)/AY$134*AZ85)</f>
        <v>225000</v>
      </c>
      <c r="BB85" s="61"/>
      <c r="BC85" s="87">
        <f t="shared" si="230"/>
        <v>0</v>
      </c>
      <c r="BD85" s="77">
        <f t="shared" si="231"/>
        <v>3.9621000000000003E-2</v>
      </c>
      <c r="BE85" s="87">
        <f>IF($A85&gt;BC$128, 0, SUM(BC85:BC$117)*BD85*BC$133/BC$134+SUM(BC86:BC$117)*BD85*BC$133/BC$134)</f>
        <v>990525</v>
      </c>
      <c r="BF85" s="61"/>
      <c r="BG85" s="87">
        <f t="shared" si="232"/>
        <v>0</v>
      </c>
      <c r="BH85" s="77">
        <f t="shared" si="233"/>
        <v>3.9646000000000001E-2</v>
      </c>
      <c r="BI85" s="87">
        <f>IF($A85&gt;BG$128, 0, SUM(BG85:BG$117)*BH85*BG$133/BG$134+SUM(BG86:BG$117)*BH85*BG$133/BG$134)</f>
        <v>2477875</v>
      </c>
      <c r="BJ85" s="61"/>
      <c r="BK85" s="35">
        <f t="shared" si="254"/>
        <v>0</v>
      </c>
      <c r="BL85" s="35">
        <f t="shared" si="255"/>
        <v>3693400</v>
      </c>
      <c r="BM85" s="8"/>
      <c r="BN85" s="87">
        <f t="shared" si="234"/>
        <v>0</v>
      </c>
      <c r="BO85" s="77" t="str">
        <f t="shared" si="235"/>
        <v xml:space="preserve">   </v>
      </c>
      <c r="BP85" s="87">
        <f>IF($A85&gt;BN$58, 0, SUM(BN85:BN$117)*BO85*BN$133/BN$134+SUM(BN86:BN$117)*(BN$134-BN$133)/BN$134*BO85)</f>
        <v>0</v>
      </c>
      <c r="BQ85" s="77"/>
      <c r="BR85" s="87"/>
      <c r="BS85" s="77"/>
      <c r="BT85" s="87"/>
      <c r="BU85" s="87"/>
      <c r="BV85" s="35">
        <f t="shared" si="256"/>
        <v>0</v>
      </c>
      <c r="BW85" s="35">
        <f t="shared" si="257"/>
        <v>0</v>
      </c>
      <c r="BX85" s="87"/>
      <c r="BY85" s="87">
        <f t="shared" si="236"/>
        <v>0</v>
      </c>
      <c r="BZ85" s="77">
        <f t="shared" si="237"/>
        <v>8.8500000000000002E-3</v>
      </c>
      <c r="CA85" s="87">
        <f>IF($A85&gt;BY$58, 0, SUM(BY85:BY$117)*BZ85*BY$133/BY$134+SUM(BY86:BY$117)*(BY$134-BY$133)/BY$134*BZ85)</f>
        <v>398250</v>
      </c>
      <c r="CB85" s="87"/>
      <c r="CC85" s="87">
        <f t="shared" si="238"/>
        <v>0</v>
      </c>
      <c r="CD85" s="77">
        <f t="shared" si="239"/>
        <v>1.482E-2</v>
      </c>
      <c r="CE85" s="87">
        <f>IF($A85&gt;CC$58, 0, SUM(CC85:CC$117)*CD85*CC$133/CC$134+SUM(CC86:CC$117)*(CC$134-CC$133)/CC$134*CD85)</f>
        <v>74100</v>
      </c>
      <c r="CF85" s="87"/>
      <c r="CG85" s="87"/>
      <c r="CH85" s="77"/>
      <c r="CI85" s="87"/>
      <c r="CJ85" s="87"/>
      <c r="CK85" s="87">
        <f t="shared" si="240"/>
        <v>0</v>
      </c>
      <c r="CL85" s="77">
        <f t="shared" si="241"/>
        <v>3.8449999999999998E-2</v>
      </c>
      <c r="CM85" s="87">
        <f>IF($A85&gt;CK$58, 0, SUM(CK85:CK$117)*CL85*CK$133/CK$134+SUM(CK86:CK$117)*(CK$134-CK$133)/CK$134*CL85)</f>
        <v>2883750</v>
      </c>
      <c r="CN85" s="87"/>
      <c r="CO85" s="162">
        <f t="shared" si="242"/>
        <v>0</v>
      </c>
      <c r="CP85" s="87">
        <f t="shared" si="243"/>
        <v>2957850</v>
      </c>
      <c r="CQ85" s="32"/>
      <c r="CR85" s="87">
        <f t="shared" si="244"/>
        <v>0</v>
      </c>
      <c r="CS85" s="77">
        <f t="shared" si="245"/>
        <v>2.4920000000000001E-2</v>
      </c>
      <c r="CT85" s="87">
        <f>IF($A85&gt;CR$58, 0, SUM(CR85:CR$117)*CS85*CR$133/CR$134+SUM(CR86:CR$117)*(CR$134-CR$133)/CR$134*CS85)</f>
        <v>548240</v>
      </c>
      <c r="CZ85" s="165">
        <f t="shared" si="246"/>
        <v>0</v>
      </c>
      <c r="DA85" s="165">
        <f t="shared" si="247"/>
        <v>548240</v>
      </c>
      <c r="DB85" s="87"/>
      <c r="DC85" s="87">
        <f t="shared" si="258"/>
        <v>0</v>
      </c>
      <c r="DD85" s="77" t="str">
        <f t="shared" si="248"/>
        <v>---</v>
      </c>
      <c r="DE85" s="87">
        <f t="shared" si="249"/>
        <v>2130963.2999999998</v>
      </c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W85" s="165">
        <f t="shared" si="259"/>
        <v>0</v>
      </c>
      <c r="DX85" s="165">
        <f t="shared" si="260"/>
        <v>12333403.300000001</v>
      </c>
      <c r="DY85" s="87"/>
      <c r="DZ85" s="53">
        <f t="shared" si="250"/>
        <v>2028</v>
      </c>
      <c r="EA85" s="35">
        <f t="shared" si="251"/>
        <v>219535000</v>
      </c>
      <c r="EB85" s="35">
        <f t="shared" si="252"/>
        <v>28620433.25</v>
      </c>
      <c r="EC85" s="35"/>
      <c r="ED85" s="49">
        <f t="shared" si="261"/>
        <v>5</v>
      </c>
    </row>
    <row r="86" spans="1:134" s="33" customFormat="1" outlineLevel="1">
      <c r="A86" s="7">
        <f t="shared" si="253"/>
        <v>2029</v>
      </c>
      <c r="B86" s="151">
        <f>Assumptions!B13</f>
        <v>5.3800000000000001E-2</v>
      </c>
      <c r="C86" s="151">
        <f>Assumptions!C13</f>
        <v>5.3800000000000001E-2</v>
      </c>
      <c r="D86" s="151">
        <f>Assumptions!D13</f>
        <v>3.5000000000000003E-2</v>
      </c>
      <c r="E86" s="151">
        <f>Assumptions!E13</f>
        <v>5.2999999999999999E-2</v>
      </c>
      <c r="F86" s="8"/>
      <c r="G86" s="8"/>
      <c r="H86" s="8"/>
      <c r="I86" s="8"/>
      <c r="J86" s="8"/>
      <c r="K86" s="8"/>
      <c r="L86" s="8"/>
      <c r="M86" s="87">
        <f t="shared" si="212"/>
        <v>0</v>
      </c>
      <c r="N86" s="77" t="str">
        <f t="shared" si="213"/>
        <v xml:space="preserve">   </v>
      </c>
      <c r="O86" s="87">
        <f>IF($A86&gt;M$58, 0, SUM(M86:M$117)*N86*M$133/M$134+SUM(M87:M$117)*(M$134-M$133)/M$134*N86)</f>
        <v>0</v>
      </c>
      <c r="P86" s="35"/>
      <c r="Q86" s="87">
        <f t="shared" si="214"/>
        <v>0</v>
      </c>
      <c r="R86" s="77" t="str">
        <f t="shared" si="215"/>
        <v xml:space="preserve">   </v>
      </c>
      <c r="S86" s="87">
        <f>IF($A86&gt;Q$58, 0, SUM(Q86:Q$117)*R86*Q$133/Q$134+SUM(Q87:Q$117)*(Q$134-Q$133)/Q$134*R86)</f>
        <v>0</v>
      </c>
      <c r="T86" s="35"/>
      <c r="U86" s="35">
        <f t="shared" si="216"/>
        <v>0</v>
      </c>
      <c r="V86" s="35">
        <f t="shared" si="217"/>
        <v>0</v>
      </c>
      <c r="W86" s="35"/>
      <c r="X86" s="87">
        <f t="shared" si="218"/>
        <v>0</v>
      </c>
      <c r="Y86" s="77" t="str">
        <f t="shared" si="219"/>
        <v xml:space="preserve">   </v>
      </c>
      <c r="Z86" s="87">
        <f>IF($A86&gt;X$58, 0, SUM(X86:X$117)*Y86*X$133/X$134+SUM(X87:X$117)*(X$134-X$133)/X$134*Y86)</f>
        <v>0</v>
      </c>
      <c r="AA86" s="87"/>
      <c r="AB86" s="87">
        <f t="shared" si="220"/>
        <v>0</v>
      </c>
      <c r="AC86" s="77">
        <f t="shared" si="221"/>
        <v>4.675E-2</v>
      </c>
      <c r="AD86" s="87">
        <f>IF($A86&gt;AB$58, 0, SUM(AB86:AB$117)*AC86*AB$133/AB$134+SUM(AB87:AB$117)*(AB$134-AB$133)/AB$134*AC86)</f>
        <v>5843750</v>
      </c>
      <c r="AE86" s="35"/>
      <c r="AF86" s="87">
        <f t="shared" si="222"/>
        <v>0</v>
      </c>
      <c r="AG86" s="77">
        <f t="shared" si="223"/>
        <v>4.274E-2</v>
      </c>
      <c r="AH86" s="87">
        <f>IF($A86&gt;AF$58, 0, SUM(AF86:AF$117)*AG86*AF$133/AF$134+SUM(AF87:AF$117)*(AF$134-AF$133)/AF$134*AG86)</f>
        <v>427400</v>
      </c>
      <c r="AI86" s="35"/>
      <c r="AJ86" s="87"/>
      <c r="AK86" s="77"/>
      <c r="AL86" s="87"/>
      <c r="AM86" s="35"/>
      <c r="AN86" s="87">
        <f t="shared" si="224"/>
        <v>0</v>
      </c>
      <c r="AO86" s="77" t="str">
        <f>IF($A86&gt;AN$128, "   ", IF(AN$124="VRDB", $D86+$E86+#REF!, IF(AN$124="1M LIBOR", $B86*AN$125+AN$126, IF(AN$124="3M LIBOR", $C86*AN$125+AN$126, IF(AN$124="R-FLOATs", $D86+#REF!+#REF!, 0)))))</f>
        <v xml:space="preserve">   </v>
      </c>
      <c r="AP86" s="87">
        <f>IF($A86&gt;AN$128, 0, SUM(AN86:AN$117)*AO86*AN$133/AN$134+SUM(AN87:AN$117)*AO86*AN$133/AN$134)</f>
        <v>0</v>
      </c>
      <c r="AQ86" s="35"/>
      <c r="AR86" s="87">
        <f t="shared" si="225"/>
        <v>0</v>
      </c>
      <c r="AS86" s="77">
        <f>IF($A86&gt;AR$128, "   ", IF(AR$124="VRDB", $D86+$E86+#REF!, IF(AR$124="1M LIBOR", $B86*AR$125+AR$126, IF(AR$124="3M LIBOR", $C86*AR$125+AR$126, IF(AR$124="R-FLOATs", $D86+#REF!+#REF!, 0)))))</f>
        <v>4.3546000000000001E-2</v>
      </c>
      <c r="AT86" s="87">
        <f>IF($A86&gt;AR$128, 0, SUM(AR86:AR$117)*AS86*AR$133/AR$134+SUM(AR87:AR$117)*AS86*AR$133/AR$134)</f>
        <v>2177300</v>
      </c>
      <c r="AV86" s="35">
        <f t="shared" si="226"/>
        <v>0</v>
      </c>
      <c r="AW86" s="35">
        <f t="shared" si="227"/>
        <v>2604700</v>
      </c>
      <c r="AX86" s="35"/>
      <c r="AY86" s="87">
        <f t="shared" si="228"/>
        <v>0</v>
      </c>
      <c r="AZ86" s="77">
        <f t="shared" si="229"/>
        <v>2.2499999999999999E-2</v>
      </c>
      <c r="BA86" s="87">
        <f>IF($A86&gt;AY$58, 0, SUM(AY86:AY$117)*AZ86*AY$133/AY$134+SUM(AY87:AY$117)*(AY$134-AY$133)/AY$134*AZ86)</f>
        <v>225000</v>
      </c>
      <c r="BB86" s="61"/>
      <c r="BC86" s="87">
        <f t="shared" si="230"/>
        <v>0</v>
      </c>
      <c r="BD86" s="77">
        <f t="shared" si="231"/>
        <v>3.9621000000000003E-2</v>
      </c>
      <c r="BE86" s="87">
        <f>IF($A86&gt;BC$128, 0, SUM(BC86:BC$117)*BD86*BC$133/BC$134+SUM(BC87:BC$117)*BD86*BC$133/BC$134)</f>
        <v>990525</v>
      </c>
      <c r="BF86" s="61"/>
      <c r="BG86" s="87">
        <f t="shared" si="232"/>
        <v>0</v>
      </c>
      <c r="BH86" s="77">
        <f t="shared" si="233"/>
        <v>3.9646000000000001E-2</v>
      </c>
      <c r="BI86" s="87">
        <f>IF($A86&gt;BG$128, 0, SUM(BG86:BG$117)*BH86*BG$133/BG$134+SUM(BG87:BG$117)*BH86*BG$133/BG$134)</f>
        <v>2477875</v>
      </c>
      <c r="BJ86" s="61"/>
      <c r="BK86" s="35">
        <f t="shared" si="254"/>
        <v>0</v>
      </c>
      <c r="BL86" s="35">
        <f t="shared" si="255"/>
        <v>3693400</v>
      </c>
      <c r="BM86" s="8"/>
      <c r="BN86" s="87">
        <f t="shared" si="234"/>
        <v>0</v>
      </c>
      <c r="BO86" s="77" t="str">
        <f t="shared" si="235"/>
        <v xml:space="preserve">   </v>
      </c>
      <c r="BP86" s="87">
        <f>IF($A86&gt;BN$58, 0, SUM(BN86:BN$117)*BO86*BN$133/BN$134+SUM(BN87:BN$117)*(BN$134-BN$133)/BN$134*BO86)</f>
        <v>0</v>
      </c>
      <c r="BQ86" s="77"/>
      <c r="BR86" s="87"/>
      <c r="BS86" s="77"/>
      <c r="BT86" s="87"/>
      <c r="BU86" s="87"/>
      <c r="BV86" s="35">
        <f t="shared" si="256"/>
        <v>0</v>
      </c>
      <c r="BW86" s="35">
        <f t="shared" si="257"/>
        <v>0</v>
      </c>
      <c r="BX86" s="87"/>
      <c r="BY86" s="87">
        <f t="shared" si="236"/>
        <v>45000000</v>
      </c>
      <c r="BZ86" s="77">
        <f t="shared" si="237"/>
        <v>8.8500000000000002E-3</v>
      </c>
      <c r="CA86" s="87">
        <f>IF($A86&gt;BY$58, 0, SUM(BY86:BY$117)*BZ86*BY$133/BY$134+SUM(BY87:BY$117)*(BY$134-BY$133)/BY$134*BZ86)</f>
        <v>398250</v>
      </c>
      <c r="CB86" s="87"/>
      <c r="CC86" s="87">
        <f t="shared" si="238"/>
        <v>0</v>
      </c>
      <c r="CD86" s="77">
        <f t="shared" si="239"/>
        <v>1.482E-2</v>
      </c>
      <c r="CE86" s="87">
        <f>IF($A86&gt;CC$58, 0, SUM(CC86:CC$117)*CD86*CC$133/CC$134+SUM(CC87:CC$117)*(CC$134-CC$133)/CC$134*CD86)</f>
        <v>74100</v>
      </c>
      <c r="CF86" s="87"/>
      <c r="CG86" s="87"/>
      <c r="CH86" s="77"/>
      <c r="CI86" s="87"/>
      <c r="CJ86" s="87"/>
      <c r="CK86" s="87">
        <f t="shared" si="240"/>
        <v>0</v>
      </c>
      <c r="CL86" s="77">
        <f t="shared" si="241"/>
        <v>3.8449999999999998E-2</v>
      </c>
      <c r="CM86" s="87">
        <f>IF($A86&gt;CK$58, 0, SUM(CK86:CK$117)*CL86*CK$133/CK$134+SUM(CK87:CK$117)*(CK$134-CK$133)/CK$134*CL86)</f>
        <v>2883750</v>
      </c>
      <c r="CN86" s="87"/>
      <c r="CO86" s="162">
        <f t="shared" si="242"/>
        <v>0</v>
      </c>
      <c r="CP86" s="87">
        <f t="shared" si="243"/>
        <v>2957850</v>
      </c>
      <c r="CQ86" s="32"/>
      <c r="CR86" s="87">
        <f t="shared" si="244"/>
        <v>22000000</v>
      </c>
      <c r="CS86" s="77">
        <f t="shared" si="245"/>
        <v>2.4920000000000001E-2</v>
      </c>
      <c r="CT86" s="87">
        <f>IF($A86&gt;CR$58, 0, SUM(CR86:CR$117)*CS86*CR$133/CR$134+SUM(CR87:CR$117)*(CR$134-CR$133)/CR$134*CS86)</f>
        <v>274120</v>
      </c>
      <c r="CZ86" s="165">
        <f t="shared" si="246"/>
        <v>22000000</v>
      </c>
      <c r="DA86" s="165">
        <f t="shared" si="247"/>
        <v>274120</v>
      </c>
      <c r="DB86" s="87"/>
      <c r="DC86" s="87">
        <f t="shared" si="258"/>
        <v>0</v>
      </c>
      <c r="DD86" s="77" t="str">
        <f t="shared" si="248"/>
        <v>---</v>
      </c>
      <c r="DE86" s="87">
        <f t="shared" si="249"/>
        <v>2130963.2999999998</v>
      </c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W86" s="165">
        <f t="shared" si="259"/>
        <v>67000000</v>
      </c>
      <c r="DX86" s="165">
        <f t="shared" si="260"/>
        <v>12059283.300000001</v>
      </c>
      <c r="DY86" s="87"/>
      <c r="DZ86" s="53">
        <f t="shared" si="250"/>
        <v>2029</v>
      </c>
      <c r="EA86" s="35">
        <f t="shared" si="251"/>
        <v>67000000</v>
      </c>
      <c r="EB86" s="35">
        <f t="shared" si="252"/>
        <v>17903033.300000001</v>
      </c>
      <c r="EC86" s="35"/>
      <c r="ED86" s="49">
        <f t="shared" si="261"/>
        <v>6</v>
      </c>
    </row>
    <row r="87" spans="1:134" s="33" customFormat="1" outlineLevel="1">
      <c r="A87" s="7">
        <f t="shared" si="253"/>
        <v>2030</v>
      </c>
      <c r="B87" s="151">
        <f>Assumptions!B14</f>
        <v>5.3800000000000001E-2</v>
      </c>
      <c r="C87" s="151">
        <f>Assumptions!C14</f>
        <v>5.3800000000000001E-2</v>
      </c>
      <c r="D87" s="151">
        <f>Assumptions!D14</f>
        <v>3.5000000000000003E-2</v>
      </c>
      <c r="E87" s="151">
        <f>Assumptions!E14</f>
        <v>5.2999999999999999E-2</v>
      </c>
      <c r="F87" s="8"/>
      <c r="G87" s="8"/>
      <c r="H87" s="8"/>
      <c r="I87" s="8"/>
      <c r="J87" s="8"/>
      <c r="K87" s="8"/>
      <c r="L87" s="8"/>
      <c r="M87" s="87">
        <f t="shared" si="212"/>
        <v>0</v>
      </c>
      <c r="N87" s="77" t="str">
        <f t="shared" si="213"/>
        <v xml:space="preserve">   </v>
      </c>
      <c r="O87" s="87">
        <f>IF($A87&gt;M$58, 0, SUM(M87:M$117)*N87*M$133/M$134+SUM(M88:M$117)*(M$134-M$133)/M$134*N87)</f>
        <v>0</v>
      </c>
      <c r="P87" s="35"/>
      <c r="Q87" s="87">
        <f t="shared" si="214"/>
        <v>0</v>
      </c>
      <c r="R87" s="77" t="str">
        <f t="shared" si="215"/>
        <v xml:space="preserve">   </v>
      </c>
      <c r="S87" s="87">
        <f>IF($A87&gt;Q$58, 0, SUM(Q87:Q$117)*R87*Q$133/Q$134+SUM(Q88:Q$117)*(Q$134-Q$133)/Q$134*R87)</f>
        <v>0</v>
      </c>
      <c r="T87" s="35"/>
      <c r="U87" s="35">
        <f t="shared" si="216"/>
        <v>0</v>
      </c>
      <c r="V87" s="35">
        <f t="shared" si="217"/>
        <v>0</v>
      </c>
      <c r="W87" s="35"/>
      <c r="X87" s="87">
        <f t="shared" si="218"/>
        <v>0</v>
      </c>
      <c r="Y87" s="77" t="str">
        <f t="shared" si="219"/>
        <v xml:space="preserve">   </v>
      </c>
      <c r="Z87" s="87">
        <f>IF($A87&gt;X$58, 0, SUM(X87:X$117)*Y87*X$133/X$134+SUM(X88:X$117)*(X$134-X$133)/X$134*Y87)</f>
        <v>0</v>
      </c>
      <c r="AA87" s="87"/>
      <c r="AB87" s="87">
        <f t="shared" si="220"/>
        <v>0</v>
      </c>
      <c r="AC87" s="77">
        <f t="shared" si="221"/>
        <v>4.675E-2</v>
      </c>
      <c r="AD87" s="87">
        <f>IF($A87&gt;AB$58, 0, SUM(AB87:AB$117)*AC87*AB$133/AB$134+SUM(AB88:AB$117)*(AB$134-AB$133)/AB$134*AC87)</f>
        <v>5843750</v>
      </c>
      <c r="AE87" s="35"/>
      <c r="AF87" s="87">
        <f t="shared" si="222"/>
        <v>0</v>
      </c>
      <c r="AG87" s="77">
        <f t="shared" si="223"/>
        <v>4.274E-2</v>
      </c>
      <c r="AH87" s="87">
        <f>IF($A87&gt;AF$58, 0, SUM(AF87:AF$117)*AG87*AF$133/AF$134+SUM(AF88:AF$117)*(AF$134-AF$133)/AF$134*AG87)</f>
        <v>427400</v>
      </c>
      <c r="AI87" s="35"/>
      <c r="AJ87" s="87"/>
      <c r="AK87" s="77"/>
      <c r="AL87" s="87"/>
      <c r="AM87" s="35"/>
      <c r="AN87" s="87">
        <f t="shared" si="224"/>
        <v>0</v>
      </c>
      <c r="AO87" s="77" t="str">
        <f>IF($A87&gt;AN$128, "   ", IF(AN$124="VRDB", $D87+$E87+#REF!, IF(AN$124="1M LIBOR", $B87*AN$125+AN$126, IF(AN$124="3M LIBOR", $C87*AN$125+AN$126, IF(AN$124="R-FLOATs", $D87+#REF!+#REF!, 0)))))</f>
        <v xml:space="preserve">   </v>
      </c>
      <c r="AP87" s="87">
        <f>IF($A87&gt;AN$128, 0, SUM(AN87:AN$117)*AO87*AN$133/AN$134+SUM(AN88:AN$117)*AO87*AN$133/AN$134)</f>
        <v>0</v>
      </c>
      <c r="AQ87" s="35"/>
      <c r="AR87" s="87">
        <f t="shared" si="225"/>
        <v>0</v>
      </c>
      <c r="AS87" s="77">
        <f>IF($A87&gt;AR$128, "   ", IF(AR$124="VRDB", $D87+$E87+#REF!, IF(AR$124="1M LIBOR", $B87*AR$125+AR$126, IF(AR$124="3M LIBOR", $C87*AR$125+AR$126, IF(AR$124="R-FLOATs", $D87+#REF!+#REF!, 0)))))</f>
        <v>4.3546000000000001E-2</v>
      </c>
      <c r="AT87" s="87">
        <f>IF($A87&gt;AR$128, 0, SUM(AR87:AR$117)*AS87*AR$133/AR$134+SUM(AR88:AR$117)*AS87*AR$133/AR$134)</f>
        <v>2177300</v>
      </c>
      <c r="AV87" s="35">
        <f t="shared" si="226"/>
        <v>0</v>
      </c>
      <c r="AW87" s="35">
        <f t="shared" si="227"/>
        <v>2604700</v>
      </c>
      <c r="AX87" s="35"/>
      <c r="AY87" s="87">
        <f t="shared" si="228"/>
        <v>0</v>
      </c>
      <c r="AZ87" s="77">
        <f t="shared" si="229"/>
        <v>2.2499999999999999E-2</v>
      </c>
      <c r="BA87" s="87">
        <f>IF($A87&gt;AY$58, 0, SUM(AY87:AY$117)*AZ87*AY$133/AY$134+SUM(AY88:AY$117)*(AY$134-AY$133)/AY$134*AZ87)</f>
        <v>225000</v>
      </c>
      <c r="BB87" s="61"/>
      <c r="BC87" s="87">
        <f t="shared" si="230"/>
        <v>0</v>
      </c>
      <c r="BD87" s="77">
        <f t="shared" si="231"/>
        <v>3.9621000000000003E-2</v>
      </c>
      <c r="BE87" s="87">
        <f>IF($A87&gt;BC$128, 0, SUM(BC87:BC$117)*BD87*BC$133/BC$134+SUM(BC88:BC$117)*BD87*BC$133/BC$134)</f>
        <v>990525</v>
      </c>
      <c r="BF87" s="61"/>
      <c r="BG87" s="87">
        <f t="shared" si="232"/>
        <v>0</v>
      </c>
      <c r="BH87" s="77">
        <f t="shared" si="233"/>
        <v>3.9646000000000001E-2</v>
      </c>
      <c r="BI87" s="87">
        <f>IF($A87&gt;BG$128, 0, SUM(BG87:BG$117)*BH87*BG$133/BG$134+SUM(BG88:BG$117)*BH87*BG$133/BG$134)</f>
        <v>2477875</v>
      </c>
      <c r="BJ87" s="61"/>
      <c r="BK87" s="35">
        <f t="shared" si="254"/>
        <v>0</v>
      </c>
      <c r="BL87" s="35">
        <f t="shared" si="255"/>
        <v>3693400</v>
      </c>
      <c r="BM87" s="8"/>
      <c r="BN87" s="87">
        <f t="shared" si="234"/>
        <v>0</v>
      </c>
      <c r="BO87" s="77" t="str">
        <f t="shared" si="235"/>
        <v xml:space="preserve">   </v>
      </c>
      <c r="BP87" s="87">
        <f>IF($A87&gt;BN$58, 0, SUM(BN87:BN$117)*BO87*BN$133/BN$134+SUM(BN88:BN$117)*(BN$134-BN$133)/BN$134*BO87)</f>
        <v>0</v>
      </c>
      <c r="BQ87" s="77"/>
      <c r="BR87" s="87"/>
      <c r="BS87" s="77"/>
      <c r="BT87" s="87"/>
      <c r="BU87" s="87"/>
      <c r="BV87" s="35">
        <f t="shared" si="256"/>
        <v>0</v>
      </c>
      <c r="BW87" s="35">
        <f t="shared" si="257"/>
        <v>0</v>
      </c>
      <c r="BX87" s="87"/>
      <c r="BY87" s="87">
        <f t="shared" si="236"/>
        <v>0</v>
      </c>
      <c r="BZ87" s="77" t="str">
        <f t="shared" si="237"/>
        <v xml:space="preserve">   </v>
      </c>
      <c r="CA87" s="87">
        <f>IF($A87&gt;BY$58, 0, SUM(BY87:BY$117)*BZ87*BY$133/BY$134+SUM(BY88:BY$117)*(BY$134-BY$133)/BY$134*BZ87)</f>
        <v>0</v>
      </c>
      <c r="CB87" s="87"/>
      <c r="CC87" s="87">
        <f t="shared" si="238"/>
        <v>5000000</v>
      </c>
      <c r="CD87" s="77">
        <f t="shared" si="239"/>
        <v>1.482E-2</v>
      </c>
      <c r="CE87" s="87">
        <f>IF($A87&gt;CC$58, 0, SUM(CC87:CC$117)*CD87*CC$133/CC$134+SUM(CC88:CC$117)*(CC$134-CC$133)/CC$134*CD87)</f>
        <v>37050</v>
      </c>
      <c r="CF87" s="87"/>
      <c r="CG87" s="87"/>
      <c r="CH87" s="77"/>
      <c r="CI87" s="87"/>
      <c r="CJ87" s="87"/>
      <c r="CK87" s="87">
        <f t="shared" si="240"/>
        <v>0</v>
      </c>
      <c r="CL87" s="77">
        <f t="shared" si="241"/>
        <v>3.8449999999999998E-2</v>
      </c>
      <c r="CM87" s="87">
        <f>IF($A87&gt;CK$58, 0, SUM(CK87:CK$117)*CL87*CK$133/CK$134+SUM(CK88:CK$117)*(CK$134-CK$133)/CK$134*CL87)</f>
        <v>2883750</v>
      </c>
      <c r="CN87" s="87"/>
      <c r="CO87" s="162">
        <f t="shared" si="242"/>
        <v>5000000</v>
      </c>
      <c r="CP87" s="87">
        <f t="shared" si="243"/>
        <v>2920800</v>
      </c>
      <c r="CQ87" s="32"/>
      <c r="CR87" s="87">
        <f t="shared" si="244"/>
        <v>0</v>
      </c>
      <c r="CS87" s="77" t="str">
        <f t="shared" si="245"/>
        <v xml:space="preserve">   </v>
      </c>
      <c r="CT87" s="87">
        <f>IF($A87&gt;CR$58, 0, SUM(CR87:CR$117)*CS87*CR$133/CR$134+SUM(CR88:CR$117)*(CR$134-CR$133)/CR$134*CS87)</f>
        <v>0</v>
      </c>
      <c r="CZ87" s="165">
        <f t="shared" si="246"/>
        <v>0</v>
      </c>
      <c r="DA87" s="165">
        <f t="shared" si="247"/>
        <v>0</v>
      </c>
      <c r="DB87" s="87"/>
      <c r="DC87" s="87">
        <f t="shared" si="258"/>
        <v>0</v>
      </c>
      <c r="DD87" s="77" t="str">
        <f t="shared" si="248"/>
        <v>---</v>
      </c>
      <c r="DE87" s="87">
        <f t="shared" si="249"/>
        <v>2130963.2999999998</v>
      </c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W87" s="165">
        <f t="shared" si="259"/>
        <v>5000000</v>
      </c>
      <c r="DX87" s="165">
        <f t="shared" si="260"/>
        <v>11349863.300000001</v>
      </c>
      <c r="DY87" s="87"/>
      <c r="DZ87" s="53">
        <f t="shared" si="250"/>
        <v>2030</v>
      </c>
      <c r="EA87" s="35">
        <f t="shared" si="251"/>
        <v>5000000</v>
      </c>
      <c r="EB87" s="35">
        <f t="shared" si="252"/>
        <v>17193613.300000001</v>
      </c>
      <c r="EC87" s="35"/>
      <c r="ED87" s="49">
        <f t="shared" si="261"/>
        <v>7</v>
      </c>
    </row>
    <row r="88" spans="1:134" s="33" customFormat="1" outlineLevel="1">
      <c r="A88" s="7">
        <f t="shared" si="253"/>
        <v>2031</v>
      </c>
      <c r="B88" s="151">
        <f>Assumptions!B15</f>
        <v>5.3800000000000001E-2</v>
      </c>
      <c r="C88" s="151">
        <f>Assumptions!C15</f>
        <v>5.3800000000000001E-2</v>
      </c>
      <c r="D88" s="151">
        <f>Assumptions!D15</f>
        <v>3.5000000000000003E-2</v>
      </c>
      <c r="E88" s="151">
        <f>Assumptions!E15</f>
        <v>5.2999999999999999E-2</v>
      </c>
      <c r="F88" s="8"/>
      <c r="G88" s="8"/>
      <c r="H88" s="8"/>
      <c r="I88" s="8"/>
      <c r="J88" s="8"/>
      <c r="K88" s="8"/>
      <c r="L88" s="8"/>
      <c r="M88" s="87">
        <f t="shared" si="212"/>
        <v>0</v>
      </c>
      <c r="N88" s="77" t="str">
        <f t="shared" si="213"/>
        <v xml:space="preserve">   </v>
      </c>
      <c r="O88" s="87">
        <f>IF($A88&gt;M$58, 0, SUM(M88:M$117)*N88*M$133/M$134+SUM(M89:M$117)*(M$134-M$133)/M$134*N88)</f>
        <v>0</v>
      </c>
      <c r="P88" s="35"/>
      <c r="Q88" s="87">
        <f t="shared" si="214"/>
        <v>0</v>
      </c>
      <c r="R88" s="77" t="str">
        <f t="shared" si="215"/>
        <v xml:space="preserve">   </v>
      </c>
      <c r="S88" s="87">
        <f>IF($A88&gt;Q$58, 0, SUM(Q88:Q$117)*R88*Q$133/Q$134+SUM(Q89:Q$117)*(Q$134-Q$133)/Q$134*R88)</f>
        <v>0</v>
      </c>
      <c r="T88" s="35"/>
      <c r="U88" s="35">
        <f t="shared" si="216"/>
        <v>0</v>
      </c>
      <c r="V88" s="35">
        <f t="shared" si="217"/>
        <v>0</v>
      </c>
      <c r="W88" s="35"/>
      <c r="X88" s="87">
        <f t="shared" si="218"/>
        <v>0</v>
      </c>
      <c r="Y88" s="77" t="str">
        <f t="shared" si="219"/>
        <v xml:space="preserve">   </v>
      </c>
      <c r="Z88" s="87">
        <f>IF($A88&gt;X$58, 0, SUM(X88:X$117)*Y88*X$133/X$134+SUM(X89:X$117)*(X$134-X$133)/X$134*Y88)</f>
        <v>0</v>
      </c>
      <c r="AA88" s="87"/>
      <c r="AB88" s="87">
        <f t="shared" si="220"/>
        <v>0</v>
      </c>
      <c r="AC88" s="77">
        <f t="shared" si="221"/>
        <v>4.675E-2</v>
      </c>
      <c r="AD88" s="87">
        <f>IF($A88&gt;AB$58, 0, SUM(AB88:AB$117)*AC88*AB$133/AB$134+SUM(AB89:AB$117)*(AB$134-AB$133)/AB$134*AC88)</f>
        <v>5843750</v>
      </c>
      <c r="AE88" s="35"/>
      <c r="AF88" s="87">
        <f t="shared" si="222"/>
        <v>0</v>
      </c>
      <c r="AG88" s="77">
        <f t="shared" si="223"/>
        <v>4.274E-2</v>
      </c>
      <c r="AH88" s="87">
        <f>IF($A88&gt;AF$58, 0, SUM(AF88:AF$117)*AG88*AF$133/AF$134+SUM(AF89:AF$117)*(AF$134-AF$133)/AF$134*AG88)</f>
        <v>427400</v>
      </c>
      <c r="AI88" s="35"/>
      <c r="AJ88" s="87"/>
      <c r="AK88" s="77"/>
      <c r="AL88" s="87"/>
      <c r="AM88" s="35"/>
      <c r="AN88" s="87">
        <f t="shared" si="224"/>
        <v>0</v>
      </c>
      <c r="AO88" s="77" t="str">
        <f>IF($A88&gt;AN$128, "   ", IF(AN$124="VRDB", $D88+$E88+#REF!, IF(AN$124="1M LIBOR", $B88*AN$125+AN$126, IF(AN$124="3M LIBOR", $C88*AN$125+AN$126, IF(AN$124="R-FLOATs", $D88+#REF!+#REF!, 0)))))</f>
        <v xml:space="preserve">   </v>
      </c>
      <c r="AP88" s="87">
        <f>IF($A88&gt;AN$128, 0, SUM(AN88:AN$117)*AO88*AN$133/AN$134+SUM(AN89:AN$117)*AO88*AN$133/AN$134)</f>
        <v>0</v>
      </c>
      <c r="AQ88" s="35"/>
      <c r="AR88" s="87">
        <f t="shared" si="225"/>
        <v>0</v>
      </c>
      <c r="AS88" s="77">
        <f>IF($A88&gt;AR$128, "   ", IF(AR$124="VRDB", $D88+$E88+#REF!, IF(AR$124="1M LIBOR", $B88*AR$125+AR$126, IF(AR$124="3M LIBOR", $C88*AR$125+AR$126, IF(AR$124="R-FLOATs", $D88+#REF!+#REF!, 0)))))</f>
        <v>4.3546000000000001E-2</v>
      </c>
      <c r="AT88" s="87">
        <f>IF($A88&gt;AR$128, 0, SUM(AR88:AR$117)*AS88*AR$133/AR$134+SUM(AR89:AR$117)*AS88*AR$133/AR$134)</f>
        <v>2177300</v>
      </c>
      <c r="AV88" s="35">
        <f t="shared" si="226"/>
        <v>0</v>
      </c>
      <c r="AW88" s="35">
        <f t="shared" si="227"/>
        <v>2604700</v>
      </c>
      <c r="AX88" s="35"/>
      <c r="AY88" s="87">
        <f t="shared" si="228"/>
        <v>0</v>
      </c>
      <c r="AZ88" s="77">
        <f t="shared" si="229"/>
        <v>2.2499999999999999E-2</v>
      </c>
      <c r="BA88" s="87">
        <f>IF($A88&gt;AY$58, 0, SUM(AY88:AY$117)*AZ88*AY$133/AY$134+SUM(AY89:AY$117)*(AY$134-AY$133)/AY$134*AZ88)</f>
        <v>225000</v>
      </c>
      <c r="BB88" s="61"/>
      <c r="BC88" s="87">
        <f t="shared" si="230"/>
        <v>0</v>
      </c>
      <c r="BD88" s="77">
        <f t="shared" si="231"/>
        <v>3.9621000000000003E-2</v>
      </c>
      <c r="BE88" s="87">
        <f>IF($A88&gt;BC$128, 0, SUM(BC88:BC$117)*BD88*BC$133/BC$134+SUM(BC89:BC$117)*BD88*BC$133/BC$134)</f>
        <v>990525</v>
      </c>
      <c r="BF88" s="61"/>
      <c r="BG88" s="87">
        <f t="shared" si="232"/>
        <v>0</v>
      </c>
      <c r="BH88" s="77">
        <f t="shared" si="233"/>
        <v>3.9646000000000001E-2</v>
      </c>
      <c r="BI88" s="87">
        <f>IF($A88&gt;BG$128, 0, SUM(BG88:BG$117)*BH88*BG$133/BG$134+SUM(BG89:BG$117)*BH88*BG$133/BG$134)</f>
        <v>2477875</v>
      </c>
      <c r="BJ88" s="61"/>
      <c r="BK88" s="35">
        <f t="shared" si="254"/>
        <v>0</v>
      </c>
      <c r="BL88" s="35">
        <f t="shared" si="255"/>
        <v>3693400</v>
      </c>
      <c r="BM88" s="8"/>
      <c r="BN88" s="87">
        <f t="shared" si="234"/>
        <v>0</v>
      </c>
      <c r="BO88" s="77" t="str">
        <f t="shared" si="235"/>
        <v xml:space="preserve">   </v>
      </c>
      <c r="BP88" s="87">
        <f>IF($A88&gt;BN$58, 0, SUM(BN88:BN$117)*BO88*BN$133/BN$134+SUM(BN89:BN$117)*(BN$134-BN$133)/BN$134*BO88)</f>
        <v>0</v>
      </c>
      <c r="BQ88" s="77"/>
      <c r="BR88" s="87"/>
      <c r="BS88" s="77"/>
      <c r="BT88" s="87"/>
      <c r="BU88" s="87"/>
      <c r="BV88" s="35">
        <f t="shared" si="256"/>
        <v>0</v>
      </c>
      <c r="BW88" s="35">
        <f t="shared" si="257"/>
        <v>0</v>
      </c>
      <c r="BX88" s="87"/>
      <c r="BY88" s="87">
        <f t="shared" si="236"/>
        <v>0</v>
      </c>
      <c r="BZ88" s="77" t="str">
        <f t="shared" si="237"/>
        <v xml:space="preserve">   </v>
      </c>
      <c r="CA88" s="87">
        <f>IF($A88&gt;BY$58, 0, SUM(BY88:BY$117)*BZ88*BY$133/BY$134+SUM(BY89:BY$117)*(BY$134-BY$133)/BY$134*BZ88)</f>
        <v>0</v>
      </c>
      <c r="CB88" s="87"/>
      <c r="CC88" s="87">
        <f t="shared" si="238"/>
        <v>0</v>
      </c>
      <c r="CD88" s="77" t="str">
        <f t="shared" si="239"/>
        <v xml:space="preserve">   </v>
      </c>
      <c r="CE88" s="87">
        <f>IF($A88&gt;CC$58, 0, SUM(CC88:CC$117)*CD88*CC$133/CC$134+SUM(CC89:CC$117)*(CC$134-CC$133)/CC$134*CD88)</f>
        <v>0</v>
      </c>
      <c r="CF88" s="87"/>
      <c r="CG88" s="87"/>
      <c r="CH88" s="77"/>
      <c r="CI88" s="87"/>
      <c r="CJ88" s="87"/>
      <c r="CK88" s="87">
        <f t="shared" si="240"/>
        <v>0</v>
      </c>
      <c r="CL88" s="77">
        <f t="shared" si="241"/>
        <v>3.8449999999999998E-2</v>
      </c>
      <c r="CM88" s="87">
        <f>IF($A88&gt;CK$58, 0, SUM(CK88:CK$117)*CL88*CK$133/CK$134+SUM(CK89:CK$117)*(CK$134-CK$133)/CK$134*CL88)</f>
        <v>2883750</v>
      </c>
      <c r="CN88" s="87"/>
      <c r="CO88" s="162">
        <f t="shared" si="242"/>
        <v>0</v>
      </c>
      <c r="CP88" s="87">
        <f t="shared" si="243"/>
        <v>2883750</v>
      </c>
      <c r="CQ88" s="32"/>
      <c r="CR88" s="87">
        <f t="shared" si="244"/>
        <v>0</v>
      </c>
      <c r="CS88" s="77" t="str">
        <f t="shared" si="245"/>
        <v xml:space="preserve">   </v>
      </c>
      <c r="CT88" s="87">
        <f>IF($A88&gt;CR$58, 0, SUM(CR88:CR$117)*CS88*CR$133/CR$134+SUM(CR89:CR$117)*(CR$134-CR$133)/CR$134*CS88)</f>
        <v>0</v>
      </c>
      <c r="CZ88" s="165">
        <f t="shared" si="246"/>
        <v>0</v>
      </c>
      <c r="DA88" s="165">
        <f t="shared" si="247"/>
        <v>0</v>
      </c>
      <c r="DB88" s="87"/>
      <c r="DC88" s="87">
        <f t="shared" si="258"/>
        <v>0</v>
      </c>
      <c r="DD88" s="77" t="str">
        <f t="shared" si="248"/>
        <v>---</v>
      </c>
      <c r="DE88" s="87">
        <f t="shared" si="249"/>
        <v>2130963.2999999998</v>
      </c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W88" s="165">
        <f t="shared" si="259"/>
        <v>0</v>
      </c>
      <c r="DX88" s="165">
        <f t="shared" si="260"/>
        <v>11312813.300000001</v>
      </c>
      <c r="DY88" s="87"/>
      <c r="DZ88" s="53">
        <f t="shared" si="250"/>
        <v>2031</v>
      </c>
      <c r="EA88" s="35">
        <f t="shared" si="251"/>
        <v>0</v>
      </c>
      <c r="EB88" s="35">
        <f t="shared" si="252"/>
        <v>17156563.300000001</v>
      </c>
      <c r="EC88" s="35"/>
      <c r="ED88" s="49">
        <f t="shared" si="261"/>
        <v>8</v>
      </c>
    </row>
    <row r="89" spans="1:134" s="33" customFormat="1" outlineLevel="1">
      <c r="A89" s="7">
        <f t="shared" si="253"/>
        <v>2032</v>
      </c>
      <c r="B89" s="151">
        <f>Assumptions!B16</f>
        <v>5.3800000000000001E-2</v>
      </c>
      <c r="C89" s="151">
        <f>Assumptions!C16</f>
        <v>5.3800000000000001E-2</v>
      </c>
      <c r="D89" s="151">
        <f>Assumptions!D16</f>
        <v>3.5000000000000003E-2</v>
      </c>
      <c r="E89" s="151">
        <f>Assumptions!E16</f>
        <v>5.2999999999999999E-2</v>
      </c>
      <c r="F89" s="8"/>
      <c r="G89" s="8"/>
      <c r="H89" s="8"/>
      <c r="I89" s="8"/>
      <c r="J89" s="8"/>
      <c r="K89" s="8"/>
      <c r="L89" s="86"/>
      <c r="M89" s="87">
        <f t="shared" si="212"/>
        <v>0</v>
      </c>
      <c r="N89" s="77" t="str">
        <f t="shared" si="213"/>
        <v xml:space="preserve">   </v>
      </c>
      <c r="O89" s="87">
        <f>IF($A89&gt;M$58, 0, SUM(M89:M$117)*N89*M$133/M$134+SUM(M90:M$117)*(M$134-M$133)/M$134*N89)</f>
        <v>0</v>
      </c>
      <c r="P89" s="35"/>
      <c r="Q89" s="87">
        <f t="shared" si="214"/>
        <v>0</v>
      </c>
      <c r="R89" s="77" t="str">
        <f t="shared" si="215"/>
        <v xml:space="preserve">   </v>
      </c>
      <c r="S89" s="87">
        <f>IF($A89&gt;Q$58, 0, SUM(Q89:Q$117)*R89*Q$133/Q$134+SUM(Q90:Q$117)*(Q$134-Q$133)/Q$134*R89)</f>
        <v>0</v>
      </c>
      <c r="T89" s="35"/>
      <c r="U89" s="35">
        <f t="shared" si="216"/>
        <v>0</v>
      </c>
      <c r="V89" s="35">
        <f t="shared" si="217"/>
        <v>0</v>
      </c>
      <c r="W89" s="87"/>
      <c r="X89" s="87">
        <f t="shared" si="218"/>
        <v>0</v>
      </c>
      <c r="Y89" s="77" t="str">
        <f t="shared" si="219"/>
        <v xml:space="preserve">   </v>
      </c>
      <c r="Z89" s="87">
        <f>IF($A89&gt;X$58, 0, SUM(X89:X$117)*Y89*X$133/X$134+SUM(X90:X$117)*(X$134-X$133)/X$134*Y89)</f>
        <v>0</v>
      </c>
      <c r="AA89" s="87"/>
      <c r="AB89" s="87">
        <f t="shared" si="220"/>
        <v>125000000</v>
      </c>
      <c r="AC89" s="77">
        <f t="shared" si="221"/>
        <v>4.675E-2</v>
      </c>
      <c r="AD89" s="87">
        <f>IF($A89&gt;AB$58, 0, SUM(AB89:AB$117)*AC89*AB$133/AB$134+SUM(AB90:AB$117)*(AB$134-AB$133)/AB$134*AC89)</f>
        <v>5843750</v>
      </c>
      <c r="AE89" s="87"/>
      <c r="AF89" s="87">
        <f t="shared" si="222"/>
        <v>0</v>
      </c>
      <c r="AG89" s="77">
        <f t="shared" si="223"/>
        <v>4.274E-2</v>
      </c>
      <c r="AH89" s="87">
        <f>IF($A89&gt;AF$58, 0, SUM(AF89:AF$117)*AG89*AF$133/AF$134+SUM(AF90:AF$117)*(AF$134-AF$133)/AF$134*AG89)</f>
        <v>427400</v>
      </c>
      <c r="AI89" s="35"/>
      <c r="AJ89" s="87"/>
      <c r="AK89" s="77"/>
      <c r="AL89" s="87"/>
      <c r="AM89" s="35"/>
      <c r="AN89" s="87">
        <f t="shared" si="224"/>
        <v>0</v>
      </c>
      <c r="AO89" s="77" t="str">
        <f>IF($A89&gt;AN$128, "   ", IF(AN$124="VRDB", $D89+$E89+#REF!, IF(AN$124="1M LIBOR", $B89*AN$125+AN$126, IF(AN$124="3M LIBOR", $C89*AN$125+AN$126, IF(AN$124="R-FLOATs", $D89+#REF!+#REF!, 0)))))</f>
        <v xml:space="preserve">   </v>
      </c>
      <c r="AP89" s="87">
        <f>IF($A89&gt;AN$128, 0, SUM(AN89:AN$117)*AO89*AN$133/AN$134+SUM(AN90:AN$117)*AO89*AN$133/AN$134)</f>
        <v>0</v>
      </c>
      <c r="AQ89" s="87"/>
      <c r="AR89" s="87">
        <f t="shared" si="225"/>
        <v>0</v>
      </c>
      <c r="AS89" s="77">
        <f>IF($A89&gt;AR$128, "   ", IF(AR$124="VRDB", $D89+$E89+#REF!, IF(AR$124="1M LIBOR", $B89*AR$125+AR$126, IF(AR$124="3M LIBOR", $C89*AR$125+AR$126, IF(AR$124="R-FLOATs", $D89+#REF!+#REF!, 0)))))</f>
        <v>4.3546000000000001E-2</v>
      </c>
      <c r="AT89" s="87">
        <f>IF($A89&gt;AR$128, 0, SUM(AR89:AR$117)*AS89*AR$133/AR$134+SUM(AR90:AR$117)*AS89*AR$133/AR$134)</f>
        <v>2177300</v>
      </c>
      <c r="AV89" s="35">
        <f t="shared" si="226"/>
        <v>0</v>
      </c>
      <c r="AW89" s="35">
        <f t="shared" si="227"/>
        <v>2604700</v>
      </c>
      <c r="AX89" s="87"/>
      <c r="AY89" s="87">
        <f t="shared" si="228"/>
        <v>0</v>
      </c>
      <c r="AZ89" s="77">
        <f t="shared" si="229"/>
        <v>2.2499999999999999E-2</v>
      </c>
      <c r="BA89" s="87">
        <f>IF($A89&gt;AY$58, 0, SUM(AY89:AY$117)*AZ89*AY$133/AY$134+SUM(AY90:AY$117)*(AY$134-AY$133)/AY$134*AZ89)</f>
        <v>225000</v>
      </c>
      <c r="BB89" s="61"/>
      <c r="BC89" s="87">
        <f t="shared" si="230"/>
        <v>0</v>
      </c>
      <c r="BD89" s="77">
        <f t="shared" si="231"/>
        <v>3.9621000000000003E-2</v>
      </c>
      <c r="BE89" s="87">
        <f>IF($A89&gt;BC$128, 0, SUM(BC89:BC$117)*BD89*BC$133/BC$134+SUM(BC90:BC$117)*BD89*BC$133/BC$134)</f>
        <v>990525</v>
      </c>
      <c r="BF89" s="61"/>
      <c r="BG89" s="87">
        <f t="shared" si="232"/>
        <v>0</v>
      </c>
      <c r="BH89" s="77">
        <f t="shared" si="233"/>
        <v>3.9646000000000001E-2</v>
      </c>
      <c r="BI89" s="87">
        <f>IF($A89&gt;BG$128, 0, SUM(BG89:BG$117)*BH89*BG$133/BG$134+SUM(BG90:BG$117)*BH89*BG$133/BG$134)</f>
        <v>2477875</v>
      </c>
      <c r="BJ89" s="61"/>
      <c r="BK89" s="35">
        <f t="shared" si="254"/>
        <v>0</v>
      </c>
      <c r="BL89" s="35">
        <f t="shared" si="255"/>
        <v>3693400</v>
      </c>
      <c r="BM89" s="86"/>
      <c r="BN89" s="87">
        <f t="shared" si="234"/>
        <v>0</v>
      </c>
      <c r="BO89" s="77" t="str">
        <f t="shared" si="235"/>
        <v xml:space="preserve">   </v>
      </c>
      <c r="BP89" s="87">
        <f>IF($A89&gt;BN$58, 0, SUM(BN89:BN$117)*BO89*BN$133/BN$134+SUM(BN90:BN$117)*(BN$134-BN$133)/BN$134*BO89)</f>
        <v>0</v>
      </c>
      <c r="BQ89" s="77"/>
      <c r="BR89" s="87"/>
      <c r="BS89" s="77"/>
      <c r="BT89" s="87"/>
      <c r="BU89" s="87"/>
      <c r="BV89" s="35">
        <f t="shared" si="256"/>
        <v>0</v>
      </c>
      <c r="BW89" s="35">
        <f t="shared" si="257"/>
        <v>0</v>
      </c>
      <c r="BX89" s="87"/>
      <c r="BY89" s="87">
        <f t="shared" si="236"/>
        <v>0</v>
      </c>
      <c r="BZ89" s="77" t="str">
        <f t="shared" si="237"/>
        <v xml:space="preserve">   </v>
      </c>
      <c r="CA89" s="87">
        <f>IF($A89&gt;BY$58, 0, SUM(BY89:BY$117)*BZ89*BY$133/BY$134+SUM(BY90:BY$117)*(BY$134-BY$133)/BY$134*BZ89)</f>
        <v>0</v>
      </c>
      <c r="CB89" s="87"/>
      <c r="CC89" s="87">
        <f t="shared" si="238"/>
        <v>0</v>
      </c>
      <c r="CD89" s="77" t="str">
        <f t="shared" si="239"/>
        <v xml:space="preserve">   </v>
      </c>
      <c r="CE89" s="87">
        <f>IF($A89&gt;CC$58, 0, SUM(CC89:CC$117)*CD89*CC$133/CC$134+SUM(CC90:CC$117)*(CC$134-CC$133)/CC$134*CD89)</f>
        <v>0</v>
      </c>
      <c r="CF89" s="87"/>
      <c r="CG89" s="87"/>
      <c r="CH89" s="77"/>
      <c r="CI89" s="87"/>
      <c r="CJ89" s="87"/>
      <c r="CK89" s="87">
        <f t="shared" si="240"/>
        <v>0</v>
      </c>
      <c r="CL89" s="77">
        <f t="shared" si="241"/>
        <v>3.8449999999999998E-2</v>
      </c>
      <c r="CM89" s="87">
        <f>IF($A89&gt;CK$58, 0, SUM(CK89:CK$117)*CL89*CK$133/CK$134+SUM(CK90:CK$117)*(CK$134-CK$133)/CK$134*CL89)</f>
        <v>2883750</v>
      </c>
      <c r="CN89" s="87"/>
      <c r="CO89" s="162">
        <f t="shared" si="242"/>
        <v>0</v>
      </c>
      <c r="CP89" s="87">
        <f t="shared" si="243"/>
        <v>2883750</v>
      </c>
      <c r="CQ89" s="32"/>
      <c r="CR89" s="87">
        <f t="shared" si="244"/>
        <v>0</v>
      </c>
      <c r="CS89" s="77" t="str">
        <f t="shared" si="245"/>
        <v xml:space="preserve">   </v>
      </c>
      <c r="CT89" s="87">
        <f>IF($A89&gt;CR$58, 0, SUM(CR89:CR$117)*CS89*CR$133/CR$134+SUM(CR90:CR$117)*(CR$134-CR$133)/CR$134*CS89)</f>
        <v>0</v>
      </c>
      <c r="CZ89" s="165">
        <f t="shared" si="246"/>
        <v>0</v>
      </c>
      <c r="DA89" s="165">
        <f t="shared" si="247"/>
        <v>0</v>
      </c>
      <c r="DB89" s="87"/>
      <c r="DC89" s="87">
        <f t="shared" si="258"/>
        <v>0</v>
      </c>
      <c r="DD89" s="77" t="str">
        <f t="shared" si="248"/>
        <v>---</v>
      </c>
      <c r="DE89" s="87">
        <f t="shared" si="249"/>
        <v>2130963.2999999998</v>
      </c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W89" s="165">
        <f t="shared" si="259"/>
        <v>0</v>
      </c>
      <c r="DX89" s="165">
        <f t="shared" si="260"/>
        <v>11312813.300000001</v>
      </c>
      <c r="DY89" s="87"/>
      <c r="DZ89" s="53">
        <f t="shared" si="250"/>
        <v>2032</v>
      </c>
      <c r="EA89" s="35">
        <f t="shared" si="251"/>
        <v>125000000</v>
      </c>
      <c r="EB89" s="35">
        <f t="shared" si="252"/>
        <v>17156563.300000001</v>
      </c>
      <c r="EC89" s="87"/>
      <c r="ED89" s="49">
        <f t="shared" si="261"/>
        <v>9</v>
      </c>
    </row>
    <row r="90" spans="1:134" s="33" customFormat="1" outlineLevel="1">
      <c r="A90" s="7">
        <f t="shared" si="253"/>
        <v>2033</v>
      </c>
      <c r="B90" s="151">
        <f>Assumptions!B17</f>
        <v>5.3800000000000001E-2</v>
      </c>
      <c r="C90" s="151">
        <f>Assumptions!C17</f>
        <v>5.3800000000000001E-2</v>
      </c>
      <c r="D90" s="151">
        <f>Assumptions!D17</f>
        <v>3.5000000000000003E-2</v>
      </c>
      <c r="E90" s="151">
        <f>Assumptions!E17</f>
        <v>5.2999999999999999E-2</v>
      </c>
      <c r="F90" s="8"/>
      <c r="G90" s="8"/>
      <c r="H90" s="8"/>
      <c r="I90" s="8"/>
      <c r="J90" s="8"/>
      <c r="K90" s="8"/>
      <c r="L90" s="86"/>
      <c r="M90" s="87">
        <f t="shared" si="212"/>
        <v>0</v>
      </c>
      <c r="N90" s="77" t="str">
        <f t="shared" si="213"/>
        <v xml:space="preserve">   </v>
      </c>
      <c r="O90" s="87">
        <f>IF($A90&gt;M$58, 0, SUM(M90:M$117)*N90*M$133/M$134+SUM(M91:M$117)*(M$134-M$133)/M$134*N90)</f>
        <v>0</v>
      </c>
      <c r="P90" s="35"/>
      <c r="Q90" s="87">
        <f t="shared" si="214"/>
        <v>0</v>
      </c>
      <c r="R90" s="77" t="str">
        <f t="shared" si="215"/>
        <v xml:space="preserve">   </v>
      </c>
      <c r="S90" s="87">
        <f>IF($A90&gt;Q$58, 0, SUM(Q90:Q$117)*R90*Q$133/Q$134+SUM(Q91:Q$117)*(Q$134-Q$133)/Q$134*R90)</f>
        <v>0</v>
      </c>
      <c r="T90" s="35"/>
      <c r="U90" s="35">
        <f t="shared" si="216"/>
        <v>0</v>
      </c>
      <c r="V90" s="35">
        <f t="shared" si="217"/>
        <v>0</v>
      </c>
      <c r="W90" s="87"/>
      <c r="X90" s="87">
        <f t="shared" si="218"/>
        <v>0</v>
      </c>
      <c r="Y90" s="77" t="str">
        <f t="shared" si="219"/>
        <v xml:space="preserve">   </v>
      </c>
      <c r="Z90" s="87">
        <f>IF($A90&gt;X$58, 0, SUM(X90:X$117)*Y90*X$133/X$134+SUM(X91:X$117)*(X$134-X$133)/X$134*Y90)</f>
        <v>0</v>
      </c>
      <c r="AA90" s="87"/>
      <c r="AB90" s="87">
        <f t="shared" si="220"/>
        <v>0</v>
      </c>
      <c r="AC90" s="77" t="str">
        <f t="shared" si="221"/>
        <v xml:space="preserve">   </v>
      </c>
      <c r="AD90" s="87">
        <f>IF($A90&gt;AB$58, 0, SUM(AB90:AB$117)*AC90*AB$133/AB$134+SUM(AB91:AB$117)*(AB$134-AB$133)/AB$134*AC90)</f>
        <v>0</v>
      </c>
      <c r="AE90" s="87"/>
      <c r="AF90" s="87">
        <f t="shared" si="222"/>
        <v>0</v>
      </c>
      <c r="AG90" s="77">
        <f t="shared" si="223"/>
        <v>4.274E-2</v>
      </c>
      <c r="AH90" s="87">
        <f>IF($A90&gt;AF$58, 0, SUM(AF90:AF$117)*AG90*AF$133/AF$134+SUM(AF91:AF$117)*(AF$134-AF$133)/AF$134*AG90)</f>
        <v>427400</v>
      </c>
      <c r="AI90" s="35"/>
      <c r="AJ90" s="87"/>
      <c r="AK90" s="77"/>
      <c r="AL90" s="87"/>
      <c r="AM90" s="35"/>
      <c r="AN90" s="87">
        <f t="shared" si="224"/>
        <v>0</v>
      </c>
      <c r="AO90" s="77" t="str">
        <f>IF($A90&gt;AN$128, "   ", IF(AN$124="VRDB", $D90+$E90+#REF!, IF(AN$124="1M LIBOR", $B90*AN$125+AN$126, IF(AN$124="3M LIBOR", $C90*AN$125+AN$126, IF(AN$124="R-FLOATs", $D90+#REF!+#REF!, 0)))))</f>
        <v xml:space="preserve">   </v>
      </c>
      <c r="AP90" s="87">
        <f>IF($A90&gt;AN$128, 0, SUM(AN90:AN$117)*AO90*AN$133/AN$134+SUM(AN91:AN$117)*AO90*AN$133/AN$134)</f>
        <v>0</v>
      </c>
      <c r="AQ90" s="87"/>
      <c r="AR90" s="87">
        <f t="shared" si="225"/>
        <v>0</v>
      </c>
      <c r="AS90" s="77">
        <f>IF($A90&gt;AR$128, "   ", IF(AR$124="VRDB", $D90+$E90+#REF!, IF(AR$124="1M LIBOR", $B90*AR$125+AR$126, IF(AR$124="3M LIBOR", $C90*AR$125+AR$126, IF(AR$124="R-FLOATs", $D90+#REF!+#REF!, 0)))))</f>
        <v>4.3546000000000001E-2</v>
      </c>
      <c r="AT90" s="87">
        <f>IF($A90&gt;AR$128, 0, SUM(AR90:AR$117)*AS90*AR$133/AR$134+SUM(AR91:AR$117)*AS90*AR$133/AR$134)</f>
        <v>2177300</v>
      </c>
      <c r="AV90" s="35">
        <f t="shared" si="226"/>
        <v>0</v>
      </c>
      <c r="AW90" s="35">
        <f t="shared" si="227"/>
        <v>2604700</v>
      </c>
      <c r="AX90" s="87"/>
      <c r="AY90" s="87">
        <f t="shared" si="228"/>
        <v>10000000</v>
      </c>
      <c r="AZ90" s="77">
        <f t="shared" si="229"/>
        <v>2.2499999999999999E-2</v>
      </c>
      <c r="BA90" s="87">
        <f>IF($A90&gt;AY$58, 0, SUM(AY90:AY$117)*AZ90*AY$133/AY$134+SUM(AY91:AY$117)*(AY$134-AY$133)/AY$134*AZ90)</f>
        <v>112500</v>
      </c>
      <c r="BB90" s="61"/>
      <c r="BC90" s="87">
        <f t="shared" si="230"/>
        <v>0</v>
      </c>
      <c r="BD90" s="77">
        <f t="shared" si="231"/>
        <v>3.9621000000000003E-2</v>
      </c>
      <c r="BE90" s="87">
        <f>IF($A90&gt;BC$128, 0, SUM(BC90:BC$117)*BD90*BC$133/BC$134+SUM(BC91:BC$117)*BD90*BC$133/BC$134)</f>
        <v>990525</v>
      </c>
      <c r="BF90" s="61"/>
      <c r="BG90" s="87">
        <f t="shared" si="232"/>
        <v>0</v>
      </c>
      <c r="BH90" s="77">
        <f t="shared" si="233"/>
        <v>3.9646000000000001E-2</v>
      </c>
      <c r="BI90" s="87">
        <f>IF($A90&gt;BG$128, 0, SUM(BG90:BG$117)*BH90*BG$133/BG$134+SUM(BG91:BG$117)*BH90*BG$133/BG$134)</f>
        <v>2477875</v>
      </c>
      <c r="BJ90" s="61"/>
      <c r="BK90" s="35">
        <f t="shared" si="254"/>
        <v>10000000</v>
      </c>
      <c r="BL90" s="35">
        <f t="shared" si="255"/>
        <v>3580900</v>
      </c>
      <c r="BM90" s="86"/>
      <c r="BN90" s="87">
        <f t="shared" si="234"/>
        <v>0</v>
      </c>
      <c r="BO90" s="77" t="str">
        <f t="shared" si="235"/>
        <v xml:space="preserve">   </v>
      </c>
      <c r="BP90" s="87">
        <f>IF($A90&gt;BN$58, 0, SUM(BN90:BN$117)*BO90*BN$133/BN$134+SUM(BN91:BN$117)*(BN$134-BN$133)/BN$134*BO90)</f>
        <v>0</v>
      </c>
      <c r="BQ90" s="77"/>
      <c r="BR90" s="87"/>
      <c r="BS90" s="77"/>
      <c r="BT90" s="87"/>
      <c r="BU90" s="87"/>
      <c r="BV90" s="35">
        <f t="shared" si="256"/>
        <v>0</v>
      </c>
      <c r="BW90" s="35">
        <f t="shared" si="257"/>
        <v>0</v>
      </c>
      <c r="BX90" s="87"/>
      <c r="BY90" s="87">
        <f t="shared" si="236"/>
        <v>0</v>
      </c>
      <c r="BZ90" s="77" t="str">
        <f t="shared" si="237"/>
        <v xml:space="preserve">   </v>
      </c>
      <c r="CA90" s="87">
        <f>IF($A90&gt;BY$58, 0, SUM(BY90:BY$117)*BZ90*BY$133/BY$134+SUM(BY91:BY$117)*(BY$134-BY$133)/BY$134*BZ90)</f>
        <v>0</v>
      </c>
      <c r="CB90" s="87"/>
      <c r="CC90" s="87">
        <f t="shared" si="238"/>
        <v>0</v>
      </c>
      <c r="CD90" s="77" t="str">
        <f t="shared" si="239"/>
        <v xml:space="preserve">   </v>
      </c>
      <c r="CE90" s="87">
        <f>IF($A90&gt;CC$58, 0, SUM(CC90:CC$117)*CD90*CC$133/CC$134+SUM(CC91:CC$117)*(CC$134-CC$133)/CC$134*CD90)</f>
        <v>0</v>
      </c>
      <c r="CF90" s="87"/>
      <c r="CG90" s="87"/>
      <c r="CH90" s="77"/>
      <c r="CI90" s="87"/>
      <c r="CJ90" s="87"/>
      <c r="CK90" s="87">
        <f t="shared" si="240"/>
        <v>0</v>
      </c>
      <c r="CL90" s="77">
        <f t="shared" si="241"/>
        <v>3.8449999999999998E-2</v>
      </c>
      <c r="CM90" s="87">
        <f>IF($A90&gt;CK$58, 0, SUM(CK90:CK$117)*CL90*CK$133/CK$134+SUM(CK91:CK$117)*(CK$134-CK$133)/CK$134*CL90)</f>
        <v>2883750</v>
      </c>
      <c r="CN90" s="87"/>
      <c r="CO90" s="162">
        <f t="shared" si="242"/>
        <v>0</v>
      </c>
      <c r="CP90" s="87">
        <f t="shared" si="243"/>
        <v>2883750</v>
      </c>
      <c r="CQ90" s="32"/>
      <c r="CR90" s="87">
        <f t="shared" si="244"/>
        <v>0</v>
      </c>
      <c r="CS90" s="77" t="str">
        <f t="shared" si="245"/>
        <v xml:space="preserve">   </v>
      </c>
      <c r="CT90" s="87">
        <f>IF($A90&gt;CR$58, 0, SUM(CR90:CR$117)*CS90*CR$133/CR$134+SUM(CR91:CR$117)*(CR$134-CR$133)/CR$134*CS90)</f>
        <v>0</v>
      </c>
      <c r="CZ90" s="165">
        <f t="shared" si="246"/>
        <v>0</v>
      </c>
      <c r="DA90" s="165">
        <f t="shared" si="247"/>
        <v>0</v>
      </c>
      <c r="DB90" s="87"/>
      <c r="DC90" s="87">
        <f t="shared" si="258"/>
        <v>50000000</v>
      </c>
      <c r="DD90" s="77">
        <f t="shared" si="248"/>
        <v>3.022E-2</v>
      </c>
      <c r="DE90" s="87">
        <f t="shared" si="249"/>
        <v>2130963.2999999998</v>
      </c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W90" s="165">
        <f t="shared" si="259"/>
        <v>60000000</v>
      </c>
      <c r="DX90" s="165">
        <f t="shared" si="260"/>
        <v>11200313.300000001</v>
      </c>
      <c r="DY90" s="87"/>
      <c r="DZ90" s="53">
        <f t="shared" si="250"/>
        <v>2033</v>
      </c>
      <c r="EA90" s="35">
        <f t="shared" si="251"/>
        <v>60000000</v>
      </c>
      <c r="EB90" s="35">
        <f t="shared" si="252"/>
        <v>11200313.300000001</v>
      </c>
      <c r="EC90" s="87"/>
      <c r="ED90" s="49">
        <f t="shared" si="261"/>
        <v>10</v>
      </c>
    </row>
    <row r="91" spans="1:134" s="33" customFormat="1" outlineLevel="1">
      <c r="A91" s="7">
        <f t="shared" si="253"/>
        <v>2034</v>
      </c>
      <c r="B91" s="151">
        <f>Assumptions!B18</f>
        <v>5.3800000000000001E-2</v>
      </c>
      <c r="C91" s="151">
        <f>Assumptions!C18</f>
        <v>5.3800000000000001E-2</v>
      </c>
      <c r="D91" s="151">
        <f>Assumptions!D18</f>
        <v>3.5000000000000003E-2</v>
      </c>
      <c r="E91" s="151">
        <f>Assumptions!E18</f>
        <v>5.2999999999999999E-2</v>
      </c>
      <c r="F91" s="8"/>
      <c r="G91" s="8"/>
      <c r="H91" s="8"/>
      <c r="I91" s="8"/>
      <c r="J91" s="8"/>
      <c r="K91" s="8"/>
      <c r="L91" s="86"/>
      <c r="M91" s="87">
        <f t="shared" si="212"/>
        <v>0</v>
      </c>
      <c r="N91" s="77" t="str">
        <f t="shared" si="213"/>
        <v xml:space="preserve">   </v>
      </c>
      <c r="O91" s="87">
        <f>IF($A91&gt;M$58, 0, SUM(M91:M$117)*N91*M$133/M$134+SUM(M92:M$117)*(M$134-M$133)/M$134*N91)</f>
        <v>0</v>
      </c>
      <c r="P91" s="35"/>
      <c r="Q91" s="87">
        <f t="shared" si="214"/>
        <v>0</v>
      </c>
      <c r="R91" s="77" t="str">
        <f t="shared" si="215"/>
        <v xml:space="preserve">   </v>
      </c>
      <c r="S91" s="87">
        <f>IF($A91&gt;Q$58, 0, SUM(Q91:Q$117)*R91*Q$133/Q$134+SUM(Q92:Q$117)*(Q$134-Q$133)/Q$134*R91)</f>
        <v>0</v>
      </c>
      <c r="T91" s="35"/>
      <c r="U91" s="35">
        <f t="shared" si="216"/>
        <v>0</v>
      </c>
      <c r="V91" s="35">
        <f t="shared" si="217"/>
        <v>0</v>
      </c>
      <c r="W91" s="87"/>
      <c r="X91" s="87">
        <f t="shared" si="218"/>
        <v>0</v>
      </c>
      <c r="Y91" s="77" t="str">
        <f t="shared" si="219"/>
        <v xml:space="preserve">   </v>
      </c>
      <c r="Z91" s="87">
        <f>IF($A91&gt;X$58, 0, SUM(X91:X$117)*Y91*X$133/X$134+SUM(X92:X$117)*(X$134-X$133)/X$134*Y91)</f>
        <v>0</v>
      </c>
      <c r="AA91" s="87"/>
      <c r="AB91" s="87">
        <f t="shared" si="220"/>
        <v>0</v>
      </c>
      <c r="AC91" s="77" t="str">
        <f t="shared" si="221"/>
        <v xml:space="preserve">   </v>
      </c>
      <c r="AD91" s="87">
        <f>IF($A91&gt;AB$58, 0, SUM(AB91:AB$117)*AC91*AB$133/AB$134+SUM(AB92:AB$117)*(AB$134-AB$133)/AB$134*AC91)</f>
        <v>0</v>
      </c>
      <c r="AE91" s="87"/>
      <c r="AF91" s="87">
        <f t="shared" si="222"/>
        <v>0</v>
      </c>
      <c r="AG91" s="77">
        <f t="shared" si="223"/>
        <v>4.274E-2</v>
      </c>
      <c r="AH91" s="87">
        <f>IF($A91&gt;AF$58, 0, SUM(AF91:AF$117)*AG91*AF$133/AF$134+SUM(AF92:AF$117)*(AF$134-AF$133)/AF$134*AG91)</f>
        <v>427400</v>
      </c>
      <c r="AI91" s="35"/>
      <c r="AJ91" s="87"/>
      <c r="AK91" s="77"/>
      <c r="AL91" s="87"/>
      <c r="AM91" s="35"/>
      <c r="AN91" s="87">
        <f t="shared" si="224"/>
        <v>0</v>
      </c>
      <c r="AO91" s="77" t="str">
        <f>IF($A91&gt;AN$128, "   ", IF(AN$124="VRDB", $D91+$E91+#REF!, IF(AN$124="1M LIBOR", $B91*AN$125+AN$126, IF(AN$124="3M LIBOR", $C91*AN$125+AN$126, IF(AN$124="R-FLOATs", $D91+#REF!+#REF!, 0)))))</f>
        <v xml:space="preserve">   </v>
      </c>
      <c r="AP91" s="87">
        <f>IF($A91&gt;AN$128, 0, SUM(AN91:AN$117)*AO91*AN$133/AN$134+SUM(AN92:AN$117)*AO91*AN$133/AN$134)</f>
        <v>0</v>
      </c>
      <c r="AQ91" s="87"/>
      <c r="AR91" s="87">
        <f t="shared" si="225"/>
        <v>0</v>
      </c>
      <c r="AS91" s="77">
        <f>IF($A91&gt;AR$128, "   ", IF(AR$124="VRDB", $D91+$E91+#REF!, IF(AR$124="1M LIBOR", $B91*AR$125+AR$126, IF(AR$124="3M LIBOR", $C91*AR$125+AR$126, IF(AR$124="R-FLOATs", $D91+#REF!+#REF!, 0)))))</f>
        <v>4.3546000000000001E-2</v>
      </c>
      <c r="AT91" s="87">
        <f>IF($A91&gt;AR$128, 0, SUM(AR91:AR$117)*AS91*AR$133/AR$134+SUM(AR92:AR$117)*AS91*AR$133/AR$134)</f>
        <v>2177300</v>
      </c>
      <c r="AV91" s="35">
        <f t="shared" si="226"/>
        <v>0</v>
      </c>
      <c r="AW91" s="35">
        <f t="shared" si="227"/>
        <v>2604700</v>
      </c>
      <c r="AX91" s="87"/>
      <c r="AY91" s="87">
        <f t="shared" si="228"/>
        <v>0</v>
      </c>
      <c r="AZ91" s="77" t="str">
        <f t="shared" si="229"/>
        <v xml:space="preserve">   </v>
      </c>
      <c r="BA91" s="87">
        <f>IF($A91&gt;AY$58, 0, SUM(AY91:AY$117)*AZ91*AY$133/AY$134+SUM(AY92:AY$117)*(AY$134-AY$133)/AY$134*AZ91)</f>
        <v>0</v>
      </c>
      <c r="BB91" s="61"/>
      <c r="BC91" s="87">
        <f t="shared" si="230"/>
        <v>0</v>
      </c>
      <c r="BD91" s="77">
        <f t="shared" si="231"/>
        <v>3.9621000000000003E-2</v>
      </c>
      <c r="BE91" s="87">
        <f>IF($A91&gt;BC$128, 0, SUM(BC91:BC$117)*BD91*BC$133/BC$134+SUM(BC92:BC$117)*BD91*BC$133/BC$134)</f>
        <v>990525</v>
      </c>
      <c r="BF91" s="61"/>
      <c r="BG91" s="87">
        <f t="shared" si="232"/>
        <v>0</v>
      </c>
      <c r="BH91" s="77">
        <f t="shared" si="233"/>
        <v>3.9646000000000001E-2</v>
      </c>
      <c r="BI91" s="87">
        <f>IF($A91&gt;BG$128, 0, SUM(BG91:BG$117)*BH91*BG$133/BG$134+SUM(BG92:BG$117)*BH91*BG$133/BG$134)</f>
        <v>2477875</v>
      </c>
      <c r="BJ91" s="61"/>
      <c r="BK91" s="35">
        <f t="shared" si="254"/>
        <v>0</v>
      </c>
      <c r="BL91" s="35">
        <f t="shared" si="255"/>
        <v>3468400</v>
      </c>
      <c r="BM91" s="86"/>
      <c r="BN91" s="87">
        <f t="shared" si="234"/>
        <v>0</v>
      </c>
      <c r="BO91" s="77" t="str">
        <f t="shared" si="235"/>
        <v xml:space="preserve">   </v>
      </c>
      <c r="BP91" s="87">
        <f>IF($A91&gt;BN$58, 0, SUM(BN91:BN$117)*BO91*BN$133/BN$134+SUM(BN92:BN$117)*(BN$134-BN$133)/BN$134*BO91)</f>
        <v>0</v>
      </c>
      <c r="BQ91" s="77"/>
      <c r="BR91" s="87"/>
      <c r="BS91" s="77"/>
      <c r="BT91" s="87"/>
      <c r="BU91" s="87"/>
      <c r="BV91" s="35">
        <f t="shared" si="256"/>
        <v>0</v>
      </c>
      <c r="BW91" s="35">
        <f t="shared" si="257"/>
        <v>0</v>
      </c>
      <c r="BX91" s="87"/>
      <c r="BY91" s="87">
        <f t="shared" si="236"/>
        <v>0</v>
      </c>
      <c r="BZ91" s="77" t="str">
        <f t="shared" si="237"/>
        <v xml:space="preserve">   </v>
      </c>
      <c r="CA91" s="87">
        <f>IF($A91&gt;BY$58, 0, SUM(BY91:BY$117)*BZ91*BY$133/BY$134+SUM(BY92:BY$117)*(BY$134-BY$133)/BY$134*BZ91)</f>
        <v>0</v>
      </c>
      <c r="CB91" s="87"/>
      <c r="CC91" s="87">
        <f t="shared" si="238"/>
        <v>0</v>
      </c>
      <c r="CD91" s="77" t="str">
        <f t="shared" si="239"/>
        <v xml:space="preserve">   </v>
      </c>
      <c r="CE91" s="87">
        <f>IF($A91&gt;CC$58, 0, SUM(CC91:CC$117)*CD91*CC$133/CC$134+SUM(CC92:CC$117)*(CC$134-CC$133)/CC$134*CD91)</f>
        <v>0</v>
      </c>
      <c r="CF91" s="87"/>
      <c r="CG91" s="87"/>
      <c r="CH91" s="77"/>
      <c r="CI91" s="87"/>
      <c r="CJ91" s="87"/>
      <c r="CK91" s="87">
        <f t="shared" si="240"/>
        <v>0</v>
      </c>
      <c r="CL91" s="77">
        <f t="shared" si="241"/>
        <v>3.8449999999999998E-2</v>
      </c>
      <c r="CM91" s="87">
        <f>IF($A91&gt;CK$58, 0, SUM(CK91:CK$117)*CL91*CK$133/CK$134+SUM(CK92:CK$117)*(CK$134-CK$133)/CK$134*CL91)</f>
        <v>2883750</v>
      </c>
      <c r="CN91" s="87"/>
      <c r="CO91" s="162">
        <f t="shared" si="242"/>
        <v>0</v>
      </c>
      <c r="CP91" s="87">
        <f t="shared" si="243"/>
        <v>2883750</v>
      </c>
      <c r="CQ91" s="32"/>
      <c r="CR91" s="87">
        <f t="shared" si="244"/>
        <v>0</v>
      </c>
      <c r="CS91" s="77" t="str">
        <f t="shared" si="245"/>
        <v xml:space="preserve">   </v>
      </c>
      <c r="CT91" s="87">
        <f>IF($A91&gt;CR$58, 0, SUM(CR91:CR$117)*CS91*CR$133/CR$134+SUM(CR92:CR$117)*(CR$134-CR$133)/CR$134*CS91)</f>
        <v>0</v>
      </c>
      <c r="CZ91" s="165">
        <f t="shared" si="246"/>
        <v>0</v>
      </c>
      <c r="DA91" s="165">
        <f t="shared" si="247"/>
        <v>0</v>
      </c>
      <c r="DB91" s="87"/>
      <c r="DC91" s="87">
        <f t="shared" si="258"/>
        <v>41030000</v>
      </c>
      <c r="DD91" s="77">
        <f t="shared" si="248"/>
        <v>3.022E-2</v>
      </c>
      <c r="DE91" s="87">
        <f t="shared" si="249"/>
        <v>1375463.3</v>
      </c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W91" s="165">
        <f t="shared" si="259"/>
        <v>41030000</v>
      </c>
      <c r="DX91" s="165">
        <f t="shared" si="260"/>
        <v>10332313.300000001</v>
      </c>
      <c r="DY91" s="87"/>
      <c r="DZ91" s="53">
        <f t="shared" si="250"/>
        <v>2034</v>
      </c>
      <c r="EA91" s="35">
        <f t="shared" si="251"/>
        <v>41030000</v>
      </c>
      <c r="EB91" s="35">
        <f t="shared" si="252"/>
        <v>10332313.300000001</v>
      </c>
      <c r="EC91" s="87"/>
      <c r="ED91" s="49">
        <f t="shared" si="261"/>
        <v>11</v>
      </c>
    </row>
    <row r="92" spans="1:134" s="33" customFormat="1" outlineLevel="1">
      <c r="A92" s="7">
        <f t="shared" si="253"/>
        <v>2035</v>
      </c>
      <c r="B92" s="151">
        <f>Assumptions!B19</f>
        <v>5.3800000000000001E-2</v>
      </c>
      <c r="C92" s="151">
        <f>Assumptions!C19</f>
        <v>5.3800000000000001E-2</v>
      </c>
      <c r="D92" s="151">
        <f>Assumptions!D19</f>
        <v>3.5000000000000003E-2</v>
      </c>
      <c r="E92" s="151">
        <f>Assumptions!E19</f>
        <v>5.2999999999999999E-2</v>
      </c>
      <c r="F92" s="8"/>
      <c r="G92" s="8"/>
      <c r="H92" s="8"/>
      <c r="I92" s="8"/>
      <c r="J92" s="8"/>
      <c r="K92" s="8"/>
      <c r="L92" s="86"/>
      <c r="M92" s="87">
        <f t="shared" si="212"/>
        <v>0</v>
      </c>
      <c r="N92" s="77" t="str">
        <f t="shared" si="213"/>
        <v xml:space="preserve">   </v>
      </c>
      <c r="O92" s="87">
        <f>IF($A92&gt;M$58, 0, SUM(M92:M$117)*N92*M$133/M$134+SUM(M93:M$117)*(M$134-M$133)/M$134*N92)</f>
        <v>0</v>
      </c>
      <c r="P92" s="35"/>
      <c r="Q92" s="87">
        <f t="shared" si="214"/>
        <v>0</v>
      </c>
      <c r="R92" s="77" t="str">
        <f t="shared" si="215"/>
        <v xml:space="preserve">   </v>
      </c>
      <c r="S92" s="87">
        <f>IF($A92&gt;Q$58, 0, SUM(Q92:Q$117)*R92*Q$133/Q$134+SUM(Q93:Q$117)*(Q$134-Q$133)/Q$134*R92)</f>
        <v>0</v>
      </c>
      <c r="T92" s="35"/>
      <c r="U92" s="35">
        <f t="shared" si="216"/>
        <v>0</v>
      </c>
      <c r="V92" s="35">
        <f t="shared" si="217"/>
        <v>0</v>
      </c>
      <c r="W92" s="87"/>
      <c r="X92" s="87">
        <f t="shared" si="218"/>
        <v>0</v>
      </c>
      <c r="Y92" s="77" t="str">
        <f t="shared" si="219"/>
        <v xml:space="preserve">   </v>
      </c>
      <c r="Z92" s="87">
        <f>IF($A92&gt;X$58, 0, SUM(X92:X$117)*Y92*X$133/X$134+SUM(X93:X$117)*(X$134-X$133)/X$134*Y92)</f>
        <v>0</v>
      </c>
      <c r="AA92" s="87"/>
      <c r="AB92" s="87">
        <f t="shared" si="220"/>
        <v>0</v>
      </c>
      <c r="AC92" s="77" t="str">
        <f t="shared" si="221"/>
        <v xml:space="preserve">   </v>
      </c>
      <c r="AD92" s="87">
        <f>IF($A92&gt;AB$58, 0, SUM(AB92:AB$117)*AC92*AB$133/AB$134+SUM(AB93:AB$117)*(AB$134-AB$133)/AB$134*AC92)</f>
        <v>0</v>
      </c>
      <c r="AE92" s="87"/>
      <c r="AF92" s="87">
        <f t="shared" si="222"/>
        <v>0</v>
      </c>
      <c r="AG92" s="77">
        <f t="shared" si="223"/>
        <v>4.274E-2</v>
      </c>
      <c r="AH92" s="87">
        <f>IF($A92&gt;AF$58, 0, SUM(AF92:AF$117)*AG92*AF$133/AF$134+SUM(AF93:AF$117)*(AF$134-AF$133)/AF$134*AG92)</f>
        <v>427400</v>
      </c>
      <c r="AI92" s="35"/>
      <c r="AJ92" s="87"/>
      <c r="AK92" s="77"/>
      <c r="AL92" s="87"/>
      <c r="AM92" s="35"/>
      <c r="AN92" s="87">
        <f t="shared" si="224"/>
        <v>0</v>
      </c>
      <c r="AO92" s="77" t="str">
        <f>IF($A92&gt;AN$128, "   ", IF(AN$124="VRDB", $D92+$E92+#REF!, IF(AN$124="1M LIBOR", $B92*AN$125+AN$126, IF(AN$124="3M LIBOR", $C92*AN$125+AN$126, IF(AN$124="R-FLOATs", $D92+#REF!+#REF!, 0)))))</f>
        <v xml:space="preserve">   </v>
      </c>
      <c r="AP92" s="87">
        <f>IF($A92&gt;AN$128, 0, SUM(AN92:AN$117)*AO92*AN$133/AN$134+SUM(AN93:AN$117)*AO92*AN$133/AN$134)</f>
        <v>0</v>
      </c>
      <c r="AQ92" s="87"/>
      <c r="AR92" s="87">
        <f t="shared" si="225"/>
        <v>0</v>
      </c>
      <c r="AS92" s="77">
        <f>IF($A92&gt;AR$128, "   ", IF(AR$124="VRDB", $D92+$E92+#REF!, IF(AR$124="1M LIBOR", $B92*AR$125+AR$126, IF(AR$124="3M LIBOR", $C92*AR$125+AR$126, IF(AR$124="R-FLOATs", $D92+#REF!+#REF!, 0)))))</f>
        <v>4.3546000000000001E-2</v>
      </c>
      <c r="AT92" s="87">
        <f>IF($A92&gt;AR$128, 0, SUM(AR92:AR$117)*AS92*AR$133/AR$134+SUM(AR93:AR$117)*AS92*AR$133/AR$134)</f>
        <v>2177300</v>
      </c>
      <c r="AV92" s="35">
        <f t="shared" si="226"/>
        <v>0</v>
      </c>
      <c r="AW92" s="35">
        <f t="shared" si="227"/>
        <v>2604700</v>
      </c>
      <c r="AX92" s="87"/>
      <c r="AY92" s="87">
        <f t="shared" si="228"/>
        <v>0</v>
      </c>
      <c r="AZ92" s="77" t="str">
        <f t="shared" si="229"/>
        <v xml:space="preserve">   </v>
      </c>
      <c r="BA92" s="87">
        <f>IF($A92&gt;AY$58, 0, SUM(AY92:AY$117)*AZ92*AY$133/AY$134+SUM(AY93:AY$117)*(AY$134-AY$133)/AY$134*AZ92)</f>
        <v>0</v>
      </c>
      <c r="BB92" s="61"/>
      <c r="BC92" s="87">
        <f t="shared" si="230"/>
        <v>0</v>
      </c>
      <c r="BD92" s="77">
        <f t="shared" si="231"/>
        <v>3.9621000000000003E-2</v>
      </c>
      <c r="BE92" s="87">
        <f>IF($A92&gt;BC$128, 0, SUM(BC92:BC$117)*BD92*BC$133/BC$134+SUM(BC93:BC$117)*BD92*BC$133/BC$134)</f>
        <v>990525</v>
      </c>
      <c r="BF92" s="61"/>
      <c r="BG92" s="87">
        <f t="shared" si="232"/>
        <v>0</v>
      </c>
      <c r="BH92" s="77">
        <f t="shared" si="233"/>
        <v>3.9646000000000001E-2</v>
      </c>
      <c r="BI92" s="87">
        <f>IF($A92&gt;BG$128, 0, SUM(BG92:BG$117)*BH92*BG$133/BG$134+SUM(BG93:BG$117)*BH92*BG$133/BG$134)</f>
        <v>2477875</v>
      </c>
      <c r="BJ92" s="61"/>
      <c r="BK92" s="35">
        <f t="shared" si="254"/>
        <v>0</v>
      </c>
      <c r="BL92" s="35">
        <f t="shared" si="255"/>
        <v>3468400</v>
      </c>
      <c r="BM92" s="86"/>
      <c r="BN92" s="87">
        <f t="shared" si="234"/>
        <v>0</v>
      </c>
      <c r="BO92" s="77" t="str">
        <f t="shared" si="235"/>
        <v xml:space="preserve">   </v>
      </c>
      <c r="BP92" s="87">
        <f>IF($A92&gt;BN$58, 0, SUM(BN92:BN$117)*BO92*BN$133/BN$134+SUM(BN93:BN$117)*(BN$134-BN$133)/BN$134*BO92)</f>
        <v>0</v>
      </c>
      <c r="BQ92" s="77"/>
      <c r="BR92" s="87"/>
      <c r="BS92" s="77"/>
      <c r="BT92" s="87"/>
      <c r="BU92" s="87"/>
      <c r="BV92" s="35">
        <f t="shared" si="256"/>
        <v>0</v>
      </c>
      <c r="BW92" s="35">
        <f t="shared" si="257"/>
        <v>0</v>
      </c>
      <c r="BX92" s="87"/>
      <c r="BY92" s="87">
        <f t="shared" si="236"/>
        <v>0</v>
      </c>
      <c r="BZ92" s="77" t="str">
        <f t="shared" si="237"/>
        <v xml:space="preserve">   </v>
      </c>
      <c r="CA92" s="87">
        <f>IF($A92&gt;BY$58, 0, SUM(BY92:BY$117)*BZ92*BY$133/BY$134+SUM(BY93:BY$117)*(BY$134-BY$133)/BY$134*BZ92)</f>
        <v>0</v>
      </c>
      <c r="CB92" s="87"/>
      <c r="CC92" s="87">
        <f t="shared" si="238"/>
        <v>0</v>
      </c>
      <c r="CD92" s="77" t="str">
        <f t="shared" si="239"/>
        <v xml:space="preserve">   </v>
      </c>
      <c r="CE92" s="87">
        <f>IF($A92&gt;CC$58, 0, SUM(CC92:CC$117)*CD92*CC$133/CC$134+SUM(CC93:CC$117)*(CC$134-CC$133)/CC$134*CD92)</f>
        <v>0</v>
      </c>
      <c r="CF92" s="87"/>
      <c r="CG92" s="87"/>
      <c r="CH92" s="77"/>
      <c r="CI92" s="87"/>
      <c r="CJ92" s="87"/>
      <c r="CK92" s="87">
        <f t="shared" si="240"/>
        <v>0</v>
      </c>
      <c r="CL92" s="77">
        <f t="shared" si="241"/>
        <v>3.8449999999999998E-2</v>
      </c>
      <c r="CM92" s="87">
        <f>IF($A92&gt;CK$58, 0, SUM(CK92:CK$117)*CL92*CK$133/CK$134+SUM(CK93:CK$117)*(CK$134-CK$133)/CK$134*CL92)</f>
        <v>2883750</v>
      </c>
      <c r="CN92" s="87"/>
      <c r="CO92" s="162">
        <f t="shared" si="242"/>
        <v>0</v>
      </c>
      <c r="CP92" s="87">
        <f t="shared" si="243"/>
        <v>2883750</v>
      </c>
      <c r="CQ92" s="32"/>
      <c r="CR92" s="87">
        <f t="shared" si="244"/>
        <v>0</v>
      </c>
      <c r="CS92" s="77" t="str">
        <f t="shared" si="245"/>
        <v xml:space="preserve">   </v>
      </c>
      <c r="CT92" s="87">
        <f>IF($A92&gt;CR$58, 0, SUM(CR92:CR$117)*CS92*CR$133/CR$134+SUM(CR93:CR$117)*(CR$134-CR$133)/CR$134*CS92)</f>
        <v>0</v>
      </c>
      <c r="CZ92" s="165">
        <f t="shared" si="246"/>
        <v>0</v>
      </c>
      <c r="DA92" s="165">
        <f t="shared" si="247"/>
        <v>0</v>
      </c>
      <c r="DB92" s="87"/>
      <c r="DC92" s="87">
        <f t="shared" si="258"/>
        <v>50000000</v>
      </c>
      <c r="DD92" s="77">
        <f t="shared" si="248"/>
        <v>3.022E-2</v>
      </c>
      <c r="DE92" s="87">
        <f t="shared" si="249"/>
        <v>755500</v>
      </c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W92" s="165">
        <f t="shared" si="259"/>
        <v>50000000</v>
      </c>
      <c r="DX92" s="165">
        <f t="shared" si="260"/>
        <v>9712350</v>
      </c>
      <c r="DY92" s="87"/>
      <c r="DZ92" s="53">
        <f t="shared" si="250"/>
        <v>2035</v>
      </c>
      <c r="EA92" s="35">
        <f t="shared" si="251"/>
        <v>50000000</v>
      </c>
      <c r="EB92" s="35">
        <f t="shared" si="252"/>
        <v>9712350</v>
      </c>
      <c r="EC92" s="87"/>
      <c r="ED92" s="49">
        <f t="shared" si="261"/>
        <v>12</v>
      </c>
    </row>
    <row r="93" spans="1:134" s="33" customFormat="1" outlineLevel="1">
      <c r="A93" s="7">
        <f t="shared" si="253"/>
        <v>2036</v>
      </c>
      <c r="B93" s="151">
        <f>Assumptions!B20</f>
        <v>5.3800000000000001E-2</v>
      </c>
      <c r="C93" s="151">
        <f>Assumptions!C20</f>
        <v>5.3800000000000001E-2</v>
      </c>
      <c r="D93" s="151">
        <f>Assumptions!D20</f>
        <v>3.5000000000000003E-2</v>
      </c>
      <c r="E93" s="151">
        <f>Assumptions!E20</f>
        <v>5.2999999999999999E-2</v>
      </c>
      <c r="F93" s="8"/>
      <c r="G93" s="8"/>
      <c r="H93" s="8"/>
      <c r="I93" s="8"/>
      <c r="J93" s="8"/>
      <c r="K93" s="8"/>
      <c r="L93" s="86"/>
      <c r="M93" s="87">
        <f t="shared" si="212"/>
        <v>0</v>
      </c>
      <c r="N93" s="77" t="str">
        <f t="shared" si="213"/>
        <v xml:space="preserve">   </v>
      </c>
      <c r="O93" s="87">
        <f>IF($A93&gt;M$58, 0, SUM(M93:M$117)*N93*M$133/M$134+SUM(M94:M$117)*(M$134-M$133)/M$134*N93)</f>
        <v>0</v>
      </c>
      <c r="P93" s="35"/>
      <c r="Q93" s="87">
        <f t="shared" si="214"/>
        <v>0</v>
      </c>
      <c r="R93" s="77" t="str">
        <f t="shared" si="215"/>
        <v xml:space="preserve">   </v>
      </c>
      <c r="S93" s="87">
        <f>IF($A93&gt;Q$58, 0, SUM(Q93:Q$117)*R93*Q$133/Q$134+SUM(Q94:Q$117)*(Q$134-Q$133)/Q$134*R93)</f>
        <v>0</v>
      </c>
      <c r="T93" s="35"/>
      <c r="U93" s="35">
        <f t="shared" si="216"/>
        <v>0</v>
      </c>
      <c r="V93" s="35">
        <f t="shared" si="217"/>
        <v>0</v>
      </c>
      <c r="W93" s="87"/>
      <c r="X93" s="87">
        <f t="shared" si="218"/>
        <v>0</v>
      </c>
      <c r="Y93" s="77" t="str">
        <f t="shared" si="219"/>
        <v xml:space="preserve">   </v>
      </c>
      <c r="Z93" s="87">
        <f>IF($A93&gt;X$58, 0, SUM(X93:X$117)*Y93*X$133/X$134+SUM(X94:X$117)*(X$134-X$133)/X$134*Y93)</f>
        <v>0</v>
      </c>
      <c r="AA93" s="87"/>
      <c r="AB93" s="87">
        <f t="shared" si="220"/>
        <v>0</v>
      </c>
      <c r="AC93" s="77" t="str">
        <f t="shared" si="221"/>
        <v xml:space="preserve">   </v>
      </c>
      <c r="AD93" s="87">
        <f>IF($A93&gt;AB$58, 0, SUM(AB93:AB$117)*AC93*AB$133/AB$134+SUM(AB94:AB$117)*(AB$134-AB$133)/AB$134*AC93)</f>
        <v>0</v>
      </c>
      <c r="AE93" s="87"/>
      <c r="AF93" s="87">
        <f t="shared" si="222"/>
        <v>0</v>
      </c>
      <c r="AG93" s="77">
        <f t="shared" si="223"/>
        <v>4.274E-2</v>
      </c>
      <c r="AH93" s="87">
        <f>IF($A93&gt;AF$58, 0, SUM(AF93:AF$117)*AG93*AF$133/AF$134+SUM(AF94:AF$117)*(AF$134-AF$133)/AF$134*AG93)</f>
        <v>427400</v>
      </c>
      <c r="AI93" s="35"/>
      <c r="AJ93" s="87"/>
      <c r="AK93" s="77"/>
      <c r="AL93" s="87"/>
      <c r="AM93" s="35"/>
      <c r="AN93" s="87">
        <f t="shared" si="224"/>
        <v>0</v>
      </c>
      <c r="AO93" s="77" t="str">
        <f>IF($A93&gt;AN$128, "   ", IF(AN$124="VRDB", $D93+$E93+#REF!, IF(AN$124="1M LIBOR", $B93*AN$125+AN$126, IF(AN$124="3M LIBOR", $C93*AN$125+AN$126, IF(AN$124="R-FLOATs", $D93+#REF!+#REF!, 0)))))</f>
        <v xml:space="preserve">   </v>
      </c>
      <c r="AP93" s="87">
        <f>IF($A93&gt;AN$128, 0, SUM(AN93:AN$117)*AO93*AN$133/AN$134+SUM(AN94:AN$117)*AO93*AN$133/AN$134)</f>
        <v>0</v>
      </c>
      <c r="AQ93" s="87"/>
      <c r="AR93" s="87">
        <f t="shared" si="225"/>
        <v>0</v>
      </c>
      <c r="AS93" s="77">
        <f>IF($A93&gt;AR$128, "   ", IF(AR$124="VRDB", $D93+$E93+#REF!, IF(AR$124="1M LIBOR", $B93*AR$125+AR$126, IF(AR$124="3M LIBOR", $C93*AR$125+AR$126, IF(AR$124="R-FLOATs", $D93+#REF!+#REF!, 0)))))</f>
        <v>4.3546000000000001E-2</v>
      </c>
      <c r="AT93" s="87">
        <f>IF($A93&gt;AR$128, 0, SUM(AR93:AR$117)*AS93*AR$133/AR$134+SUM(AR94:AR$117)*AS93*AR$133/AR$134)</f>
        <v>2177300</v>
      </c>
      <c r="AV93" s="35">
        <f t="shared" si="226"/>
        <v>0</v>
      </c>
      <c r="AW93" s="35">
        <f t="shared" si="227"/>
        <v>2604700</v>
      </c>
      <c r="AX93" s="87"/>
      <c r="AY93" s="87">
        <f t="shared" si="228"/>
        <v>0</v>
      </c>
      <c r="AZ93" s="77" t="str">
        <f t="shared" si="229"/>
        <v xml:space="preserve">   </v>
      </c>
      <c r="BA93" s="87">
        <f>IF($A93&gt;AY$58, 0, SUM(AY93:AY$117)*AZ93*AY$133/AY$134+SUM(AY94:AY$117)*(AY$134-AY$133)/AY$134*AZ93)</f>
        <v>0</v>
      </c>
      <c r="BB93" s="61"/>
      <c r="BC93" s="87">
        <f t="shared" si="230"/>
        <v>0</v>
      </c>
      <c r="BD93" s="77">
        <f t="shared" si="231"/>
        <v>3.9621000000000003E-2</v>
      </c>
      <c r="BE93" s="87">
        <f>IF($A93&gt;BC$128, 0, SUM(BC93:BC$117)*BD93*BC$133/BC$134+SUM(BC94:BC$117)*BD93*BC$133/BC$134)</f>
        <v>990525</v>
      </c>
      <c r="BF93" s="61"/>
      <c r="BG93" s="87">
        <f t="shared" si="232"/>
        <v>0</v>
      </c>
      <c r="BH93" s="77">
        <f t="shared" si="233"/>
        <v>3.9646000000000001E-2</v>
      </c>
      <c r="BI93" s="87">
        <f>IF($A93&gt;BG$128, 0, SUM(BG93:BG$117)*BH93*BG$133/BG$134+SUM(BG94:BG$117)*BH93*BG$133/BG$134)</f>
        <v>2477875</v>
      </c>
      <c r="BJ93" s="61"/>
      <c r="BK93" s="35">
        <f t="shared" si="254"/>
        <v>0</v>
      </c>
      <c r="BL93" s="35">
        <f t="shared" si="255"/>
        <v>3468400</v>
      </c>
      <c r="BM93" s="86"/>
      <c r="BN93" s="87">
        <f t="shared" si="234"/>
        <v>0</v>
      </c>
      <c r="BO93" s="77" t="str">
        <f t="shared" si="235"/>
        <v xml:space="preserve">   </v>
      </c>
      <c r="BP93" s="87">
        <f>IF($A93&gt;BN$58, 0, SUM(BN93:BN$117)*BO93*BN$133/BN$134+SUM(BN94:BN$117)*(BN$134-BN$133)/BN$134*BO93)</f>
        <v>0</v>
      </c>
      <c r="BQ93" s="77"/>
      <c r="BR93" s="87"/>
      <c r="BS93" s="77"/>
      <c r="BT93" s="87"/>
      <c r="BU93" s="87"/>
      <c r="BV93" s="35">
        <f t="shared" si="256"/>
        <v>0</v>
      </c>
      <c r="BW93" s="35">
        <f t="shared" si="257"/>
        <v>0</v>
      </c>
      <c r="BX93" s="87"/>
      <c r="BY93" s="87">
        <f t="shared" si="236"/>
        <v>0</v>
      </c>
      <c r="BZ93" s="77" t="str">
        <f t="shared" si="237"/>
        <v xml:space="preserve">   </v>
      </c>
      <c r="CA93" s="87">
        <f>IF($A93&gt;BY$58, 0, SUM(BY93:BY$117)*BZ93*BY$133/BY$134+SUM(BY94:BY$117)*(BY$134-BY$133)/BY$134*BZ93)</f>
        <v>0</v>
      </c>
      <c r="CB93" s="87"/>
      <c r="CC93" s="87">
        <f t="shared" si="238"/>
        <v>0</v>
      </c>
      <c r="CD93" s="77" t="str">
        <f t="shared" si="239"/>
        <v xml:space="preserve">   </v>
      </c>
      <c r="CE93" s="87">
        <f>IF($A93&gt;CC$58, 0, SUM(CC93:CC$117)*CD93*CC$133/CC$134+SUM(CC94:CC$117)*(CC$134-CC$133)/CC$134*CD93)</f>
        <v>0</v>
      </c>
      <c r="CF93" s="87"/>
      <c r="CG93" s="87"/>
      <c r="CH93" s="77"/>
      <c r="CI93" s="87"/>
      <c r="CJ93" s="87"/>
      <c r="CK93" s="87">
        <f t="shared" si="240"/>
        <v>0</v>
      </c>
      <c r="CL93" s="77">
        <f t="shared" si="241"/>
        <v>3.8449999999999998E-2</v>
      </c>
      <c r="CM93" s="87">
        <f>IF($A93&gt;CK$58, 0, SUM(CK93:CK$117)*CL93*CK$133/CK$134+SUM(CK94:CK$117)*(CK$134-CK$133)/CK$134*CL93)</f>
        <v>2883750</v>
      </c>
      <c r="CN93" s="87"/>
      <c r="CO93" s="162">
        <f t="shared" si="242"/>
        <v>0</v>
      </c>
      <c r="CP93" s="87">
        <f t="shared" si="243"/>
        <v>2883750</v>
      </c>
      <c r="CQ93" s="32"/>
      <c r="CR93" s="87">
        <f t="shared" si="244"/>
        <v>0</v>
      </c>
      <c r="CS93" s="77" t="str">
        <f t="shared" si="245"/>
        <v xml:space="preserve">   </v>
      </c>
      <c r="CT93" s="87">
        <f>IF($A93&gt;CR$58, 0, SUM(CR93:CR$117)*CS93*CR$133/CR$134+SUM(CR94:CR$117)*(CR$134-CR$133)/CR$134*CS93)</f>
        <v>0</v>
      </c>
      <c r="CZ93" s="165">
        <f t="shared" si="246"/>
        <v>0</v>
      </c>
      <c r="DA93" s="165">
        <f t="shared" si="247"/>
        <v>0</v>
      </c>
      <c r="DB93" s="87"/>
      <c r="DC93" s="87">
        <f t="shared" si="258"/>
        <v>0</v>
      </c>
      <c r="DD93" s="77" t="str">
        <f t="shared" si="248"/>
        <v>---</v>
      </c>
      <c r="DE93" s="87">
        <f t="shared" si="249"/>
        <v>0</v>
      </c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W93" s="165">
        <f t="shared" si="259"/>
        <v>0</v>
      </c>
      <c r="DX93" s="165">
        <f t="shared" si="260"/>
        <v>8956850</v>
      </c>
      <c r="DY93" s="87"/>
      <c r="DZ93" s="53">
        <f t="shared" si="250"/>
        <v>2036</v>
      </c>
      <c r="EA93" s="35">
        <f t="shared" si="251"/>
        <v>0</v>
      </c>
      <c r="EB93" s="35">
        <f t="shared" si="252"/>
        <v>8956850</v>
      </c>
      <c r="EC93" s="87"/>
      <c r="ED93" s="49">
        <f t="shared" si="261"/>
        <v>13</v>
      </c>
    </row>
    <row r="94" spans="1:134" s="33" customFormat="1" outlineLevel="1">
      <c r="A94" s="7">
        <f t="shared" si="253"/>
        <v>2037</v>
      </c>
      <c r="B94" s="151">
        <f>Assumptions!B21</f>
        <v>5.3800000000000001E-2</v>
      </c>
      <c r="C94" s="151">
        <f>Assumptions!C21</f>
        <v>5.3800000000000001E-2</v>
      </c>
      <c r="D94" s="151">
        <f>Assumptions!D21</f>
        <v>3.5000000000000003E-2</v>
      </c>
      <c r="E94" s="151">
        <f>Assumptions!E21</f>
        <v>5.2999999999999999E-2</v>
      </c>
      <c r="F94" s="8"/>
      <c r="G94" s="8"/>
      <c r="H94" s="8"/>
      <c r="I94" s="8"/>
      <c r="J94" s="8"/>
      <c r="K94" s="8"/>
      <c r="L94" s="86"/>
      <c r="M94" s="87">
        <f t="shared" si="212"/>
        <v>0</v>
      </c>
      <c r="N94" s="77" t="str">
        <f t="shared" si="213"/>
        <v xml:space="preserve">   </v>
      </c>
      <c r="O94" s="87">
        <f>IF($A94&gt;M$58, 0, SUM(M94:M$117)*N94*M$133/M$134+SUM(M95:M$117)*(M$134-M$133)/M$134*N94)</f>
        <v>0</v>
      </c>
      <c r="P94" s="35"/>
      <c r="Q94" s="87">
        <f t="shared" si="214"/>
        <v>0</v>
      </c>
      <c r="R94" s="77" t="str">
        <f t="shared" si="215"/>
        <v xml:space="preserve">   </v>
      </c>
      <c r="S94" s="87">
        <f>IF($A94&gt;Q$58, 0, SUM(Q94:Q$117)*R94*Q$133/Q$134+SUM(Q95:Q$117)*(Q$134-Q$133)/Q$134*R94)</f>
        <v>0</v>
      </c>
      <c r="T94" s="35"/>
      <c r="U94" s="35">
        <f t="shared" si="216"/>
        <v>0</v>
      </c>
      <c r="V94" s="35">
        <f t="shared" si="217"/>
        <v>0</v>
      </c>
      <c r="W94" s="87"/>
      <c r="X94" s="87">
        <f t="shared" si="218"/>
        <v>0</v>
      </c>
      <c r="Y94" s="77" t="str">
        <f t="shared" si="219"/>
        <v xml:space="preserve">   </v>
      </c>
      <c r="Z94" s="87">
        <f>IF($A94&gt;X$58, 0, SUM(X94:X$117)*Y94*X$133/X$134+SUM(X95:X$117)*(X$134-X$133)/X$134*Y94)</f>
        <v>0</v>
      </c>
      <c r="AA94" s="87"/>
      <c r="AB94" s="87">
        <f t="shared" si="220"/>
        <v>0</v>
      </c>
      <c r="AC94" s="77" t="str">
        <f t="shared" si="221"/>
        <v xml:space="preserve">   </v>
      </c>
      <c r="AD94" s="87">
        <f>IF($A94&gt;AB$58, 0, SUM(AB94:AB$117)*AC94*AB$133/AB$134+SUM(AB95:AB$117)*(AB$134-AB$133)/AB$134*AC94)</f>
        <v>0</v>
      </c>
      <c r="AE94" s="87"/>
      <c r="AF94" s="87">
        <f t="shared" si="222"/>
        <v>10000000</v>
      </c>
      <c r="AG94" s="77">
        <f t="shared" si="223"/>
        <v>4.274E-2</v>
      </c>
      <c r="AH94" s="87">
        <f>IF($A94&gt;AF$58, 0, SUM(AF94:AF$117)*AG94*AF$133/AF$134+SUM(AF95:AF$117)*(AF$134-AF$133)/AF$134*AG94)</f>
        <v>213700</v>
      </c>
      <c r="AI94" s="35"/>
      <c r="AJ94" s="87"/>
      <c r="AK94" s="77"/>
      <c r="AL94" s="87"/>
      <c r="AM94" s="35"/>
      <c r="AN94" s="87">
        <f t="shared" si="224"/>
        <v>0</v>
      </c>
      <c r="AO94" s="77" t="str">
        <f>IF($A94&gt;AN$128, "   ", IF(AN$124="VRDB", $D94+$E94+#REF!, IF(AN$124="1M LIBOR", $B94*AN$125+AN$126, IF(AN$124="3M LIBOR", $C94*AN$125+AN$126, IF(AN$124="R-FLOATs", $D94+#REF!+#REF!, 0)))))</f>
        <v xml:space="preserve">   </v>
      </c>
      <c r="AP94" s="87">
        <f>IF($A94&gt;AN$128, 0, SUM(AN94:AN$117)*AO94*AN$133/AN$134+SUM(AN95:AN$117)*AO94*AN$133/AN$134)</f>
        <v>0</v>
      </c>
      <c r="AQ94" s="87"/>
      <c r="AR94" s="87">
        <f t="shared" si="225"/>
        <v>50000000</v>
      </c>
      <c r="AS94" s="77">
        <f>IF($A94&gt;AR$128, "   ", IF(AR$124="VRDB", $D94+$E94+#REF!, IF(AR$124="1M LIBOR", $B94*AR$125+AR$126, IF(AR$124="3M LIBOR", $C94*AR$125+AR$126, IF(AR$124="R-FLOATs", $D94+#REF!+#REF!, 0)))))</f>
        <v>4.3546000000000001E-2</v>
      </c>
      <c r="AT94" s="87">
        <f>IF($A94&gt;AR$128, 0, SUM(AR94:AR$117)*AS94*AR$133/AR$134+SUM(AR95:AR$117)*AS94*AR$133/AR$134)</f>
        <v>1088650</v>
      </c>
      <c r="AV94" s="35">
        <f t="shared" si="226"/>
        <v>60000000</v>
      </c>
      <c r="AW94" s="35">
        <f t="shared" si="227"/>
        <v>1302350</v>
      </c>
      <c r="AX94" s="87"/>
      <c r="AY94" s="87">
        <f t="shared" si="228"/>
        <v>0</v>
      </c>
      <c r="AZ94" s="77" t="str">
        <f t="shared" si="229"/>
        <v xml:space="preserve">   </v>
      </c>
      <c r="BA94" s="87">
        <f>IF($A94&gt;AY$58, 0, SUM(AY94:AY$117)*AZ94*AY$133/AY$134+SUM(AY95:AY$117)*(AY$134-AY$133)/AY$134*AZ94)</f>
        <v>0</v>
      </c>
      <c r="BB94" s="61"/>
      <c r="BC94" s="87">
        <f t="shared" si="230"/>
        <v>0</v>
      </c>
      <c r="BD94" s="77">
        <f t="shared" si="231"/>
        <v>3.9621000000000003E-2</v>
      </c>
      <c r="BE94" s="87">
        <f>IF($A94&gt;BC$128, 0, SUM(BC94:BC$117)*BD94*BC$133/BC$134+SUM(BC95:BC$117)*BD94*BC$133/BC$134)</f>
        <v>990525</v>
      </c>
      <c r="BF94" s="61"/>
      <c r="BG94" s="87">
        <f t="shared" si="232"/>
        <v>0</v>
      </c>
      <c r="BH94" s="77">
        <f t="shared" si="233"/>
        <v>3.9646000000000001E-2</v>
      </c>
      <c r="BI94" s="87">
        <f>IF($A94&gt;BG$128, 0, SUM(BG94:BG$117)*BH94*BG$133/BG$134+SUM(BG95:BG$117)*BH94*BG$133/BG$134)</f>
        <v>2477875</v>
      </c>
      <c r="BJ94" s="61"/>
      <c r="BK94" s="35">
        <f t="shared" si="254"/>
        <v>0</v>
      </c>
      <c r="BL94" s="35">
        <f t="shared" si="255"/>
        <v>3468400</v>
      </c>
      <c r="BM94" s="86"/>
      <c r="BN94" s="87">
        <f t="shared" si="234"/>
        <v>0</v>
      </c>
      <c r="BO94" s="77" t="str">
        <f t="shared" si="235"/>
        <v xml:space="preserve">   </v>
      </c>
      <c r="BP94" s="87">
        <f>IF($A94&gt;BN$58, 0, SUM(BN94:BN$117)*BO94*BN$133/BN$134+SUM(BN95:BN$117)*(BN$134-BN$133)/BN$134*BO94)</f>
        <v>0</v>
      </c>
      <c r="BQ94" s="77"/>
      <c r="BR94" s="87"/>
      <c r="BS94" s="77"/>
      <c r="BT94" s="87"/>
      <c r="BU94" s="87"/>
      <c r="BV94" s="35">
        <f t="shared" si="256"/>
        <v>0</v>
      </c>
      <c r="BW94" s="35">
        <f t="shared" si="257"/>
        <v>0</v>
      </c>
      <c r="BX94" s="87"/>
      <c r="BY94" s="87">
        <f t="shared" si="236"/>
        <v>0</v>
      </c>
      <c r="BZ94" s="77" t="str">
        <f t="shared" si="237"/>
        <v xml:space="preserve">   </v>
      </c>
      <c r="CA94" s="87">
        <f>IF($A94&gt;BY$58, 0, SUM(BY94:BY$117)*BZ94*BY$133/BY$134+SUM(BY95:BY$117)*(BY$134-BY$133)/BY$134*BZ94)</f>
        <v>0</v>
      </c>
      <c r="CB94" s="87"/>
      <c r="CC94" s="87">
        <f t="shared" si="238"/>
        <v>0</v>
      </c>
      <c r="CD94" s="77" t="str">
        <f t="shared" si="239"/>
        <v xml:space="preserve">   </v>
      </c>
      <c r="CE94" s="87">
        <f>IF($A94&gt;CC$58, 0, SUM(CC94:CC$117)*CD94*CC$133/CC$134+SUM(CC95:CC$117)*(CC$134-CC$133)/CC$134*CD94)</f>
        <v>0</v>
      </c>
      <c r="CF94" s="87"/>
      <c r="CG94" s="87"/>
      <c r="CH94" s="77"/>
      <c r="CI94" s="87"/>
      <c r="CJ94" s="87"/>
      <c r="CK94" s="87">
        <f t="shared" si="240"/>
        <v>0</v>
      </c>
      <c r="CL94" s="77">
        <f t="shared" si="241"/>
        <v>3.8449999999999998E-2</v>
      </c>
      <c r="CM94" s="87">
        <f>IF($A94&gt;CK$58, 0, SUM(CK94:CK$117)*CL94*CK$133/CK$134+SUM(CK95:CK$117)*(CK$134-CK$133)/CK$134*CL94)</f>
        <v>2883750</v>
      </c>
      <c r="CN94" s="87"/>
      <c r="CO94" s="162">
        <f t="shared" si="242"/>
        <v>0</v>
      </c>
      <c r="CP94" s="87">
        <f t="shared" si="243"/>
        <v>2883750</v>
      </c>
      <c r="CQ94" s="32"/>
      <c r="CR94" s="87">
        <f t="shared" si="244"/>
        <v>0</v>
      </c>
      <c r="CS94" s="77" t="str">
        <f t="shared" si="245"/>
        <v xml:space="preserve">   </v>
      </c>
      <c r="CT94" s="87">
        <f>IF($A94&gt;CR$58, 0, SUM(CR94:CR$117)*CS94*CR$133/CR$134+SUM(CR95:CR$117)*(CR$134-CR$133)/CR$134*CS94)</f>
        <v>0</v>
      </c>
      <c r="CZ94" s="165">
        <f t="shared" si="246"/>
        <v>0</v>
      </c>
      <c r="DA94" s="165">
        <f t="shared" si="247"/>
        <v>0</v>
      </c>
      <c r="DB94" s="87"/>
      <c r="DC94" s="87">
        <f t="shared" si="258"/>
        <v>0</v>
      </c>
      <c r="DD94" s="77" t="str">
        <f t="shared" si="248"/>
        <v>---</v>
      </c>
      <c r="DE94" s="87">
        <f t="shared" si="249"/>
        <v>0</v>
      </c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W94" s="165">
        <f t="shared" si="259"/>
        <v>60000000</v>
      </c>
      <c r="DX94" s="165">
        <f t="shared" si="260"/>
        <v>7654500</v>
      </c>
      <c r="DY94" s="87"/>
      <c r="DZ94" s="53">
        <f t="shared" si="250"/>
        <v>2037</v>
      </c>
      <c r="EA94" s="35">
        <f t="shared" si="251"/>
        <v>60000000</v>
      </c>
      <c r="EB94" s="35">
        <f t="shared" si="252"/>
        <v>7654500</v>
      </c>
      <c r="EC94" s="87"/>
      <c r="ED94" s="49">
        <f t="shared" si="261"/>
        <v>14</v>
      </c>
    </row>
    <row r="95" spans="1:134" s="33" customFormat="1" outlineLevel="1">
      <c r="A95" s="7">
        <f t="shared" si="253"/>
        <v>2038</v>
      </c>
      <c r="B95" s="151">
        <f>Assumptions!B22</f>
        <v>5.3800000000000001E-2</v>
      </c>
      <c r="C95" s="151">
        <f>Assumptions!C22</f>
        <v>5.3800000000000001E-2</v>
      </c>
      <c r="D95" s="151">
        <f>Assumptions!D22</f>
        <v>3.5000000000000003E-2</v>
      </c>
      <c r="E95" s="151">
        <f>Assumptions!E22</f>
        <v>5.2999999999999999E-2</v>
      </c>
      <c r="F95" s="8"/>
      <c r="G95" s="8"/>
      <c r="H95" s="8"/>
      <c r="I95" s="8"/>
      <c r="J95" s="8"/>
      <c r="K95" s="8"/>
      <c r="L95" s="8"/>
      <c r="M95" s="87">
        <f t="shared" si="212"/>
        <v>0</v>
      </c>
      <c r="N95" s="77" t="str">
        <f t="shared" si="213"/>
        <v xml:space="preserve">   </v>
      </c>
      <c r="O95" s="87">
        <f>IF($A95&gt;M$58, 0, SUM(M95:M$117)*N95*M$133/M$134+SUM(M96:M$117)*(M$134-M$133)/M$134*N95)</f>
        <v>0</v>
      </c>
      <c r="P95" s="35"/>
      <c r="Q95" s="87">
        <f t="shared" si="214"/>
        <v>0</v>
      </c>
      <c r="R95" s="77" t="str">
        <f t="shared" si="215"/>
        <v xml:space="preserve">   </v>
      </c>
      <c r="S95" s="87">
        <f>IF($A95&gt;Q$58, 0, SUM(Q95:Q$117)*R95*Q$133/Q$134+SUM(Q96:Q$117)*(Q$134-Q$133)/Q$134*R95)</f>
        <v>0</v>
      </c>
      <c r="T95" s="35"/>
      <c r="U95" s="35">
        <f t="shared" si="216"/>
        <v>0</v>
      </c>
      <c r="V95" s="35">
        <f t="shared" si="217"/>
        <v>0</v>
      </c>
      <c r="W95" s="35"/>
      <c r="X95" s="87">
        <f t="shared" si="218"/>
        <v>0</v>
      </c>
      <c r="Y95" s="77" t="str">
        <f t="shared" si="219"/>
        <v xml:space="preserve">   </v>
      </c>
      <c r="Z95" s="87">
        <f>IF($A95&gt;X$58, 0, SUM(X95:X$117)*Y95*X$133/X$134+SUM(X96:X$117)*(X$134-X$133)/X$134*Y95)</f>
        <v>0</v>
      </c>
      <c r="AA95" s="87"/>
      <c r="AB95" s="87">
        <f t="shared" si="220"/>
        <v>0</v>
      </c>
      <c r="AC95" s="77" t="str">
        <f t="shared" si="221"/>
        <v xml:space="preserve">   </v>
      </c>
      <c r="AD95" s="87">
        <f>IF($A95&gt;AB$58, 0, SUM(AB95:AB$117)*AC95*AB$133/AB$134+SUM(AB96:AB$117)*(AB$134-AB$133)/AB$134*AC95)</f>
        <v>0</v>
      </c>
      <c r="AE95" s="35"/>
      <c r="AF95" s="87">
        <f t="shared" si="222"/>
        <v>0</v>
      </c>
      <c r="AG95" s="77" t="str">
        <f t="shared" si="223"/>
        <v xml:space="preserve">   </v>
      </c>
      <c r="AH95" s="87">
        <f>IF($A95&gt;AF$58, 0, SUM(AF95:AF$117)*AG95*AF$133/AF$134+SUM(AF96:AF$117)*(AF$134-AF$133)/AF$134*AG95)</f>
        <v>0</v>
      </c>
      <c r="AI95" s="35"/>
      <c r="AJ95" s="87"/>
      <c r="AK95" s="77"/>
      <c r="AL95" s="87"/>
      <c r="AM95" s="35"/>
      <c r="AN95" s="87">
        <f t="shared" si="224"/>
        <v>0</v>
      </c>
      <c r="AO95" s="77" t="str">
        <f>IF($A95&gt;AN$128, "   ", IF(AN$124="VRDB", $D95+$E95+#REF!, IF(AN$124="1M LIBOR", $B95*AN$125+AN$126, IF(AN$124="3M LIBOR", $C95*AN$125+AN$126, IF(AN$124="R-FLOATs", $D95+#REF!+#REF!, 0)))))</f>
        <v xml:space="preserve">   </v>
      </c>
      <c r="AP95" s="87">
        <f>IF($A95&gt;AN$128, 0, SUM(AN95:AN$117)*AO95*AN$133/AN$134+SUM(AN96:AN$117)*AO95*AN$133/AN$134)</f>
        <v>0</v>
      </c>
      <c r="AQ95" s="35"/>
      <c r="AR95" s="87">
        <f t="shared" si="225"/>
        <v>0</v>
      </c>
      <c r="AS95" s="77" t="str">
        <f>IF($A95&gt;AR$128, "   ", IF(AR$124="VRDB", $D95+$E95+#REF!, IF(AR$124="1M LIBOR", $B95*AR$125+AR$126, IF(AR$124="3M LIBOR", $C95*AR$125+AR$126, IF(AR$124="R-FLOATs", $D95+#REF!+#REF!, 0)))))</f>
        <v xml:space="preserve">   </v>
      </c>
      <c r="AT95" s="87">
        <f>IF($A95&gt;AR$128, 0, SUM(AR95:AR$117)*AS95*AR$133/AR$134+SUM(AR96:AR$117)*AS95*AR$133/AR$134)</f>
        <v>0</v>
      </c>
      <c r="AV95" s="35">
        <f t="shared" si="226"/>
        <v>0</v>
      </c>
      <c r="AW95" s="35">
        <f t="shared" si="227"/>
        <v>0</v>
      </c>
      <c r="AX95" s="35"/>
      <c r="AY95" s="87">
        <f t="shared" si="228"/>
        <v>0</v>
      </c>
      <c r="AZ95" s="77" t="str">
        <f t="shared" si="229"/>
        <v xml:space="preserve">   </v>
      </c>
      <c r="BA95" s="87">
        <f>IF($A95&gt;AY$58, 0, SUM(AY95:AY$117)*AZ95*AY$133/AY$134+SUM(AY96:AY$117)*(AY$134-AY$133)/AY$134*AZ95)</f>
        <v>0</v>
      </c>
      <c r="BB95" s="61"/>
      <c r="BC95" s="87">
        <f t="shared" si="230"/>
        <v>0</v>
      </c>
      <c r="BD95" s="77">
        <f t="shared" si="231"/>
        <v>3.9621000000000003E-2</v>
      </c>
      <c r="BE95" s="87">
        <f>IF($A95&gt;BC$128, 0, SUM(BC95:BC$117)*BD95*BC$133/BC$134+SUM(BC96:BC$117)*BD95*BC$133/BC$134)</f>
        <v>990525</v>
      </c>
      <c r="BF95" s="61"/>
      <c r="BG95" s="87">
        <f t="shared" si="232"/>
        <v>0</v>
      </c>
      <c r="BH95" s="77">
        <f t="shared" si="233"/>
        <v>3.9646000000000001E-2</v>
      </c>
      <c r="BI95" s="87">
        <f>IF($A95&gt;BG$128, 0, SUM(BG95:BG$117)*BH95*BG$133/BG$134+SUM(BG96:BG$117)*BH95*BG$133/BG$134)</f>
        <v>2477875</v>
      </c>
      <c r="BJ95" s="61"/>
      <c r="BK95" s="35">
        <f t="shared" si="254"/>
        <v>0</v>
      </c>
      <c r="BL95" s="35">
        <f t="shared" si="255"/>
        <v>3468400</v>
      </c>
      <c r="BM95" s="8"/>
      <c r="BN95" s="87">
        <f t="shared" si="234"/>
        <v>0</v>
      </c>
      <c r="BO95" s="77" t="str">
        <f t="shared" si="235"/>
        <v xml:space="preserve">   </v>
      </c>
      <c r="BP95" s="87">
        <f>IF($A95&gt;BN$58, 0, SUM(BN95:BN$117)*BO95*BN$133/BN$134+SUM(BN96:BN$117)*(BN$134-BN$133)/BN$134*BO95)</f>
        <v>0</v>
      </c>
      <c r="BQ95" s="77"/>
      <c r="BR95" s="87"/>
      <c r="BS95" s="77"/>
      <c r="BT95" s="87"/>
      <c r="BU95" s="87"/>
      <c r="BV95" s="35">
        <f t="shared" si="256"/>
        <v>0</v>
      </c>
      <c r="BW95" s="35">
        <f t="shared" si="257"/>
        <v>0</v>
      </c>
      <c r="BX95" s="87"/>
      <c r="BY95" s="87">
        <f t="shared" si="236"/>
        <v>0</v>
      </c>
      <c r="BZ95" s="77" t="str">
        <f t="shared" si="237"/>
        <v xml:space="preserve">   </v>
      </c>
      <c r="CA95" s="87">
        <f>IF($A95&gt;BY$58, 0, SUM(BY95:BY$117)*BZ95*BY$133/BY$134+SUM(BY96:BY$117)*(BY$134-BY$133)/BY$134*BZ95)</f>
        <v>0</v>
      </c>
      <c r="CB95" s="87"/>
      <c r="CC95" s="87">
        <f t="shared" si="238"/>
        <v>0</v>
      </c>
      <c r="CD95" s="77" t="str">
        <f t="shared" si="239"/>
        <v xml:space="preserve">   </v>
      </c>
      <c r="CE95" s="87">
        <f>IF($A95&gt;CC$58, 0, SUM(CC95:CC$117)*CD95*CC$133/CC$134+SUM(CC96:CC$117)*(CC$134-CC$133)/CC$134*CD95)</f>
        <v>0</v>
      </c>
      <c r="CF95" s="87"/>
      <c r="CG95" s="87"/>
      <c r="CH95" s="77"/>
      <c r="CI95" s="87"/>
      <c r="CJ95" s="87"/>
      <c r="CK95" s="87">
        <f t="shared" si="240"/>
        <v>0</v>
      </c>
      <c r="CL95" s="77">
        <f t="shared" si="241"/>
        <v>3.8449999999999998E-2</v>
      </c>
      <c r="CM95" s="87">
        <f>IF($A95&gt;CK$58, 0, SUM(CK95:CK$117)*CL95*CK$133/CK$134+SUM(CK96:CK$117)*(CK$134-CK$133)/CK$134*CL95)</f>
        <v>2883750</v>
      </c>
      <c r="CN95" s="87"/>
      <c r="CO95" s="162">
        <f t="shared" si="242"/>
        <v>0</v>
      </c>
      <c r="CP95" s="87">
        <f t="shared" si="243"/>
        <v>2883750</v>
      </c>
      <c r="CQ95" s="32"/>
      <c r="CR95" s="87">
        <f t="shared" si="244"/>
        <v>0</v>
      </c>
      <c r="CS95" s="77" t="str">
        <f t="shared" si="245"/>
        <v xml:space="preserve">   </v>
      </c>
      <c r="CT95" s="87">
        <f>IF($A95&gt;CR$58, 0, SUM(CR95:CR$117)*CS95*CR$133/CR$134+SUM(CR96:CR$117)*(CR$134-CR$133)/CR$134*CS95)</f>
        <v>0</v>
      </c>
      <c r="CZ95" s="165">
        <f t="shared" si="246"/>
        <v>0</v>
      </c>
      <c r="DA95" s="165">
        <f t="shared" si="247"/>
        <v>0</v>
      </c>
      <c r="DB95" s="87"/>
      <c r="DC95" s="87">
        <f t="shared" si="258"/>
        <v>0</v>
      </c>
      <c r="DD95" s="77" t="str">
        <f t="shared" si="248"/>
        <v>---</v>
      </c>
      <c r="DE95" s="87">
        <f t="shared" si="249"/>
        <v>0</v>
      </c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W95" s="165">
        <f t="shared" si="259"/>
        <v>0</v>
      </c>
      <c r="DX95" s="165">
        <f t="shared" si="260"/>
        <v>6352150</v>
      </c>
      <c r="DY95" s="87"/>
      <c r="DZ95" s="53">
        <f t="shared" si="250"/>
        <v>2038</v>
      </c>
      <c r="EA95" s="35">
        <f t="shared" si="251"/>
        <v>0</v>
      </c>
      <c r="EB95" s="35">
        <f t="shared" si="252"/>
        <v>6352150</v>
      </c>
      <c r="EC95" s="35"/>
      <c r="ED95" s="49">
        <f t="shared" si="261"/>
        <v>15</v>
      </c>
    </row>
    <row r="96" spans="1:134" s="33" customFormat="1" outlineLevel="1">
      <c r="A96" s="7">
        <f t="shared" si="253"/>
        <v>2039</v>
      </c>
      <c r="B96" s="151">
        <f>Assumptions!B23</f>
        <v>5.3800000000000001E-2</v>
      </c>
      <c r="C96" s="151">
        <f>Assumptions!C23</f>
        <v>5.3800000000000001E-2</v>
      </c>
      <c r="D96" s="151">
        <f>Assumptions!D23</f>
        <v>3.5000000000000003E-2</v>
      </c>
      <c r="E96" s="151">
        <f>Assumptions!E23</f>
        <v>5.2999999999999999E-2</v>
      </c>
      <c r="F96" s="8"/>
      <c r="G96" s="8"/>
      <c r="H96" s="8"/>
      <c r="I96" s="8"/>
      <c r="J96" s="8"/>
      <c r="K96" s="8"/>
      <c r="L96" s="8"/>
      <c r="M96" s="87">
        <f t="shared" si="212"/>
        <v>0</v>
      </c>
      <c r="N96" s="77" t="str">
        <f t="shared" si="213"/>
        <v xml:space="preserve">   </v>
      </c>
      <c r="O96" s="87">
        <f>IF($A96&gt;M$58, 0, SUM(M96:M$117)*N96*M$133/M$134+SUM(M97:M$117)*(M$134-M$133)/M$134*N96)</f>
        <v>0</v>
      </c>
      <c r="P96" s="35"/>
      <c r="Q96" s="87">
        <f t="shared" si="214"/>
        <v>0</v>
      </c>
      <c r="R96" s="77" t="str">
        <f t="shared" si="215"/>
        <v xml:space="preserve">   </v>
      </c>
      <c r="S96" s="87">
        <f>IF($A96&gt;Q$58, 0, SUM(Q96:Q$117)*R96*Q$133/Q$134+SUM(Q97:Q$117)*(Q$134-Q$133)/Q$134*R96)</f>
        <v>0</v>
      </c>
      <c r="T96" s="35"/>
      <c r="U96" s="35">
        <f t="shared" si="216"/>
        <v>0</v>
      </c>
      <c r="V96" s="35">
        <f t="shared" si="217"/>
        <v>0</v>
      </c>
      <c r="W96" s="38"/>
      <c r="X96" s="87">
        <f t="shared" si="218"/>
        <v>0</v>
      </c>
      <c r="Y96" s="77" t="str">
        <f t="shared" si="219"/>
        <v xml:space="preserve">   </v>
      </c>
      <c r="Z96" s="87">
        <f>IF($A96&gt;X$58, 0, SUM(X96:X$117)*Y96*X$133/X$134+SUM(X97:X$117)*(X$134-X$133)/X$134*Y96)</f>
        <v>0</v>
      </c>
      <c r="AA96" s="87"/>
      <c r="AB96" s="87">
        <f t="shared" si="220"/>
        <v>0</v>
      </c>
      <c r="AC96" s="77" t="str">
        <f t="shared" si="221"/>
        <v xml:space="preserve">   </v>
      </c>
      <c r="AD96" s="87">
        <f>IF($A96&gt;AB$58, 0, SUM(AB96:AB$117)*AC96*AB$133/AB$134+SUM(AB97:AB$117)*(AB$134-AB$133)/AB$134*AC96)</f>
        <v>0</v>
      </c>
      <c r="AE96" s="35"/>
      <c r="AF96" s="87">
        <f t="shared" si="222"/>
        <v>0</v>
      </c>
      <c r="AG96" s="77" t="str">
        <f t="shared" si="223"/>
        <v xml:space="preserve">   </v>
      </c>
      <c r="AH96" s="87">
        <f>IF($A96&gt;AF$58, 0, SUM(AF96:AF$117)*AG96*AF$133/AF$134+SUM(AF97:AF$117)*(AF$134-AF$133)/AF$134*AG96)</f>
        <v>0</v>
      </c>
      <c r="AI96" s="35"/>
      <c r="AJ96" s="87"/>
      <c r="AK96" s="77"/>
      <c r="AL96" s="87"/>
      <c r="AM96" s="35"/>
      <c r="AN96" s="87">
        <f t="shared" si="224"/>
        <v>0</v>
      </c>
      <c r="AO96" s="77" t="str">
        <f>IF($A96&gt;AN$128, "   ", IF(AN$124="VRDB", $D96+$E96+#REF!, IF(AN$124="1M LIBOR", $B96*AN$125+AN$126, IF(AN$124="3M LIBOR", $C96*AN$125+AN$126, IF(AN$124="R-FLOATs", $D96+#REF!+#REF!, 0)))))</f>
        <v xml:space="preserve">   </v>
      </c>
      <c r="AP96" s="87">
        <f>IF($A96&gt;AN$128, 0, SUM(AN96:AN$117)*AO96*AN$133/AN$134+SUM(AN97:AN$117)*AO96*AN$133/AN$134)</f>
        <v>0</v>
      </c>
      <c r="AQ96" s="35"/>
      <c r="AR96" s="87">
        <f t="shared" si="225"/>
        <v>0</v>
      </c>
      <c r="AS96" s="77" t="str">
        <f>IF($A96&gt;AR$128, "   ", IF(AR$124="VRDB", $D96+$E96+#REF!, IF(AR$124="1M LIBOR", $B96*AR$125+AR$126, IF(AR$124="3M LIBOR", $C96*AR$125+AR$126, IF(AR$124="R-FLOATs", $D96+#REF!+#REF!, 0)))))</f>
        <v xml:space="preserve">   </v>
      </c>
      <c r="AT96" s="87">
        <f>IF($A96&gt;AR$128, 0, SUM(AR96:AR$117)*AS96*AR$133/AR$134+SUM(AR97:AR$117)*AS96*AR$133/AR$134)</f>
        <v>0</v>
      </c>
      <c r="AV96" s="35">
        <f t="shared" si="226"/>
        <v>0</v>
      </c>
      <c r="AW96" s="35">
        <f t="shared" si="227"/>
        <v>0</v>
      </c>
      <c r="AX96" s="35"/>
      <c r="AY96" s="87">
        <f t="shared" si="228"/>
        <v>0</v>
      </c>
      <c r="AZ96" s="77" t="str">
        <f t="shared" si="229"/>
        <v xml:space="preserve">   </v>
      </c>
      <c r="BA96" s="87">
        <f>IF($A96&gt;AY$58, 0, SUM(AY96:AY$117)*AZ96*AY$133/AY$134+SUM(AY97:AY$117)*(AY$134-AY$133)/AY$134*AZ96)</f>
        <v>0</v>
      </c>
      <c r="BB96" s="61"/>
      <c r="BC96" s="87">
        <f t="shared" si="230"/>
        <v>0</v>
      </c>
      <c r="BD96" s="77">
        <f t="shared" si="231"/>
        <v>3.9621000000000003E-2</v>
      </c>
      <c r="BE96" s="87">
        <f>IF($A96&gt;BC$128, 0, SUM(BC96:BC$117)*BD96*BC$133/BC$134+SUM(BC97:BC$117)*BD96*BC$133/BC$134)</f>
        <v>990525</v>
      </c>
      <c r="BF96" s="61"/>
      <c r="BG96" s="87">
        <f t="shared" si="232"/>
        <v>0</v>
      </c>
      <c r="BH96" s="77">
        <f t="shared" si="233"/>
        <v>3.9646000000000001E-2</v>
      </c>
      <c r="BI96" s="87">
        <f>IF($A96&gt;BG$128, 0, SUM(BG96:BG$117)*BH96*BG$133/BG$134+SUM(BG97:BG$117)*BH96*BG$133/BG$134)</f>
        <v>2477875</v>
      </c>
      <c r="BJ96" s="61"/>
      <c r="BK96" s="35">
        <f t="shared" si="254"/>
        <v>0</v>
      </c>
      <c r="BL96" s="35">
        <f t="shared" si="255"/>
        <v>3468400</v>
      </c>
      <c r="BM96" s="8"/>
      <c r="BN96" s="87">
        <f t="shared" si="234"/>
        <v>0</v>
      </c>
      <c r="BO96" s="77" t="str">
        <f t="shared" si="235"/>
        <v xml:space="preserve">   </v>
      </c>
      <c r="BP96" s="87">
        <f>IF($A96&gt;BN$58, 0, SUM(BN96:BN$117)*BO96*BN$133/BN$134+SUM(BN97:BN$117)*(BN$134-BN$133)/BN$134*BO96)</f>
        <v>0</v>
      </c>
      <c r="BQ96" s="77"/>
      <c r="BR96" s="87"/>
      <c r="BS96" s="77"/>
      <c r="BT96" s="87"/>
      <c r="BU96" s="87"/>
      <c r="BV96" s="35">
        <f t="shared" si="256"/>
        <v>0</v>
      </c>
      <c r="BW96" s="35">
        <f t="shared" si="257"/>
        <v>0</v>
      </c>
      <c r="BX96" s="87"/>
      <c r="BY96" s="87">
        <f t="shared" si="236"/>
        <v>0</v>
      </c>
      <c r="BZ96" s="77" t="str">
        <f t="shared" si="237"/>
        <v xml:space="preserve">   </v>
      </c>
      <c r="CA96" s="87">
        <f>IF($A96&gt;BY$58, 0, SUM(BY96:BY$117)*BZ96*BY$133/BY$134+SUM(BY97:BY$117)*(BY$134-BY$133)/BY$134*BZ96)</f>
        <v>0</v>
      </c>
      <c r="CB96" s="87"/>
      <c r="CC96" s="87">
        <f t="shared" si="238"/>
        <v>0</v>
      </c>
      <c r="CD96" s="77" t="str">
        <f t="shared" si="239"/>
        <v xml:space="preserve">   </v>
      </c>
      <c r="CE96" s="87">
        <f>IF($A96&gt;CC$58, 0, SUM(CC96:CC$117)*CD96*CC$133/CC$134+SUM(CC97:CC$117)*(CC$134-CC$133)/CC$134*CD96)</f>
        <v>0</v>
      </c>
      <c r="CF96" s="87"/>
      <c r="CG96" s="87"/>
      <c r="CH96" s="77"/>
      <c r="CI96" s="87"/>
      <c r="CJ96" s="87"/>
      <c r="CK96" s="87">
        <f t="shared" si="240"/>
        <v>0</v>
      </c>
      <c r="CL96" s="77">
        <f t="shared" si="241"/>
        <v>3.8449999999999998E-2</v>
      </c>
      <c r="CM96" s="87">
        <f>IF($A96&gt;CK$58, 0, SUM(CK96:CK$117)*CL96*CK$133/CK$134+SUM(CK97:CK$117)*(CK$134-CK$133)/CK$134*CL96)</f>
        <v>2883750</v>
      </c>
      <c r="CN96" s="87"/>
      <c r="CO96" s="162">
        <f t="shared" si="242"/>
        <v>0</v>
      </c>
      <c r="CP96" s="87">
        <f t="shared" si="243"/>
        <v>2883750</v>
      </c>
      <c r="CQ96" s="32"/>
      <c r="CR96" s="87">
        <f t="shared" si="244"/>
        <v>0</v>
      </c>
      <c r="CS96" s="77" t="str">
        <f t="shared" si="245"/>
        <v xml:space="preserve">   </v>
      </c>
      <c r="CT96" s="87">
        <f>IF($A96&gt;CR$58, 0, SUM(CR96:CR$117)*CS96*CR$133/CR$134+SUM(CR97:CR$117)*(CR$134-CR$133)/CR$134*CS96)</f>
        <v>0</v>
      </c>
      <c r="CZ96" s="165">
        <f t="shared" si="246"/>
        <v>0</v>
      </c>
      <c r="DA96" s="165">
        <f t="shared" si="247"/>
        <v>0</v>
      </c>
      <c r="DB96" s="87"/>
      <c r="DC96" s="87">
        <f t="shared" si="258"/>
        <v>0</v>
      </c>
      <c r="DD96" s="77" t="str">
        <f t="shared" si="248"/>
        <v>---</v>
      </c>
      <c r="DE96" s="87">
        <f t="shared" si="249"/>
        <v>0</v>
      </c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W96" s="165">
        <f t="shared" si="259"/>
        <v>0</v>
      </c>
      <c r="DX96" s="165">
        <f t="shared" si="260"/>
        <v>6352150</v>
      </c>
      <c r="DY96" s="87"/>
      <c r="DZ96" s="53">
        <f t="shared" si="250"/>
        <v>2039</v>
      </c>
      <c r="EA96" s="35">
        <f t="shared" si="251"/>
        <v>0</v>
      </c>
      <c r="EB96" s="35">
        <f t="shared" si="252"/>
        <v>6352150</v>
      </c>
      <c r="EC96" s="35"/>
      <c r="ED96" s="49">
        <f t="shared" si="261"/>
        <v>16</v>
      </c>
    </row>
    <row r="97" spans="1:134" s="33" customFormat="1" outlineLevel="1">
      <c r="A97" s="7">
        <f t="shared" si="253"/>
        <v>2040</v>
      </c>
      <c r="B97" s="151">
        <f>Assumptions!B24</f>
        <v>5.3800000000000001E-2</v>
      </c>
      <c r="C97" s="151">
        <f>Assumptions!C24</f>
        <v>5.3800000000000001E-2</v>
      </c>
      <c r="D97" s="151">
        <f>Assumptions!D24</f>
        <v>3.5000000000000003E-2</v>
      </c>
      <c r="E97" s="151">
        <f>Assumptions!E24</f>
        <v>5.2999999999999999E-2</v>
      </c>
      <c r="F97" s="8"/>
      <c r="G97" s="8"/>
      <c r="H97" s="8"/>
      <c r="I97" s="8"/>
      <c r="J97" s="8"/>
      <c r="K97" s="8"/>
      <c r="L97" s="8"/>
      <c r="M97" s="87">
        <f t="shared" si="212"/>
        <v>0</v>
      </c>
      <c r="N97" s="77" t="str">
        <f t="shared" si="213"/>
        <v xml:space="preserve">   </v>
      </c>
      <c r="O97" s="87">
        <f>IF($A97&gt;M$58, 0, SUM(M97:M$117)*N97*M$133/M$134+SUM(M98:M$117)*(M$134-M$133)/M$134*N97)</f>
        <v>0</v>
      </c>
      <c r="P97" s="35"/>
      <c r="Q97" s="87">
        <f t="shared" si="214"/>
        <v>0</v>
      </c>
      <c r="R97" s="77" t="str">
        <f t="shared" si="215"/>
        <v xml:space="preserve">   </v>
      </c>
      <c r="S97" s="87">
        <f>IF($A97&gt;Q$58, 0, SUM(Q97:Q$117)*R97*Q$133/Q$134+SUM(Q98:Q$117)*(Q$134-Q$133)/Q$134*R97)</f>
        <v>0</v>
      </c>
      <c r="T97" s="35"/>
      <c r="U97" s="35">
        <f t="shared" si="216"/>
        <v>0</v>
      </c>
      <c r="V97" s="35">
        <f t="shared" si="217"/>
        <v>0</v>
      </c>
      <c r="W97" s="35"/>
      <c r="X97" s="87">
        <f t="shared" si="218"/>
        <v>0</v>
      </c>
      <c r="Y97" s="77" t="str">
        <f t="shared" si="219"/>
        <v xml:space="preserve">   </v>
      </c>
      <c r="Z97" s="87">
        <f>IF($A97&gt;X$58, 0, SUM(X97:X$117)*Y97*X$133/X$134+SUM(X98:X$117)*(X$134-X$133)/X$134*Y97)</f>
        <v>0</v>
      </c>
      <c r="AA97" s="87"/>
      <c r="AB97" s="87">
        <f t="shared" si="220"/>
        <v>0</v>
      </c>
      <c r="AC97" s="77" t="str">
        <f t="shared" si="221"/>
        <v xml:space="preserve">   </v>
      </c>
      <c r="AD97" s="87">
        <f>IF($A97&gt;AB$58, 0, SUM(AB97:AB$117)*AC97*AB$133/AB$134+SUM(AB98:AB$117)*(AB$134-AB$133)/AB$134*AC97)</f>
        <v>0</v>
      </c>
      <c r="AE97" s="35"/>
      <c r="AF97" s="87">
        <f t="shared" si="222"/>
        <v>0</v>
      </c>
      <c r="AG97" s="77" t="str">
        <f t="shared" si="223"/>
        <v xml:space="preserve">   </v>
      </c>
      <c r="AH97" s="87">
        <f>IF($A97&gt;AF$58, 0, SUM(AF97:AF$117)*AG97*AF$133/AF$134+SUM(AF98:AF$117)*(AF$134-AF$133)/AF$134*AG97)</f>
        <v>0</v>
      </c>
      <c r="AI97" s="35"/>
      <c r="AJ97" s="87"/>
      <c r="AK97" s="77"/>
      <c r="AL97" s="87"/>
      <c r="AM97" s="35"/>
      <c r="AN97" s="87">
        <f t="shared" si="224"/>
        <v>0</v>
      </c>
      <c r="AO97" s="77" t="str">
        <f>IF($A97&gt;AN$128, "   ", IF(AN$124="VRDB", $D97+$E97+#REF!, IF(AN$124="1M LIBOR", $B97*AN$125+AN$126, IF(AN$124="3M LIBOR", $C97*AN$125+AN$126, IF(AN$124="R-FLOATs", $D97+#REF!+#REF!, 0)))))</f>
        <v xml:space="preserve">   </v>
      </c>
      <c r="AP97" s="87">
        <f>IF($A97&gt;AN$128, 0, SUM(AN97:AN$117)*AO97*AN$133/AN$134+SUM(AN98:AN$117)*AO97*AN$133/AN$134)</f>
        <v>0</v>
      </c>
      <c r="AQ97" s="35"/>
      <c r="AR97" s="87">
        <f t="shared" si="225"/>
        <v>0</v>
      </c>
      <c r="AS97" s="77" t="str">
        <f>IF($A97&gt;AR$128, "   ", IF(AR$124="VRDB", $D97+$E97+#REF!, IF(AR$124="1M LIBOR", $B97*AR$125+AR$126, IF(AR$124="3M LIBOR", $C97*AR$125+AR$126, IF(AR$124="R-FLOATs", $D97+#REF!+#REF!, 0)))))</f>
        <v xml:space="preserve">   </v>
      </c>
      <c r="AT97" s="87">
        <f>IF($A97&gt;AR$128, 0, SUM(AR97:AR$117)*AS97*AR$133/AR$134+SUM(AR98:AR$117)*AS97*AR$133/AR$134)</f>
        <v>0</v>
      </c>
      <c r="AV97" s="35">
        <f t="shared" si="226"/>
        <v>0</v>
      </c>
      <c r="AW97" s="35">
        <f t="shared" si="227"/>
        <v>0</v>
      </c>
      <c r="AX97" s="35"/>
      <c r="AY97" s="87">
        <f t="shared" si="228"/>
        <v>0</v>
      </c>
      <c r="AZ97" s="77" t="str">
        <f t="shared" si="229"/>
        <v xml:space="preserve">   </v>
      </c>
      <c r="BA97" s="87">
        <f>IF($A97&gt;AY$58, 0, SUM(AY97:AY$117)*AZ97*AY$133/AY$134+SUM(AY98:AY$117)*(AY$134-AY$133)/AY$134*AZ97)</f>
        <v>0</v>
      </c>
      <c r="BB97" s="61"/>
      <c r="BC97" s="87">
        <f t="shared" si="230"/>
        <v>0</v>
      </c>
      <c r="BD97" s="77">
        <f t="shared" si="231"/>
        <v>3.9621000000000003E-2</v>
      </c>
      <c r="BE97" s="87">
        <f>IF($A97&gt;BC$128, 0, SUM(BC97:BC$117)*BD97*BC$133/BC$134+SUM(BC98:BC$117)*BD97*BC$133/BC$134)</f>
        <v>990525</v>
      </c>
      <c r="BF97" s="61"/>
      <c r="BG97" s="87">
        <f t="shared" si="232"/>
        <v>0</v>
      </c>
      <c r="BH97" s="77">
        <f t="shared" si="233"/>
        <v>3.9646000000000001E-2</v>
      </c>
      <c r="BI97" s="87">
        <f>IF($A97&gt;BG$128, 0, SUM(BG97:BG$117)*BH97*BG$133/BG$134+SUM(BG98:BG$117)*BH97*BG$133/BG$134)</f>
        <v>2477875</v>
      </c>
      <c r="BJ97" s="61"/>
      <c r="BK97" s="35">
        <f t="shared" si="254"/>
        <v>0</v>
      </c>
      <c r="BL97" s="35">
        <f t="shared" si="255"/>
        <v>3468400</v>
      </c>
      <c r="BM97" s="8"/>
      <c r="BN97" s="87">
        <f t="shared" si="234"/>
        <v>0</v>
      </c>
      <c r="BO97" s="77" t="str">
        <f t="shared" si="235"/>
        <v xml:space="preserve">   </v>
      </c>
      <c r="BP97" s="87">
        <f>IF($A97&gt;BN$58, 0, SUM(BN97:BN$117)*BO97*BN$133/BN$134+SUM(BN98:BN$117)*(BN$134-BN$133)/BN$134*BO97)</f>
        <v>0</v>
      </c>
      <c r="BQ97" s="77"/>
      <c r="BR97" s="87"/>
      <c r="BS97" s="77"/>
      <c r="BT97" s="87"/>
      <c r="BU97" s="87"/>
      <c r="BV97" s="35">
        <f t="shared" si="256"/>
        <v>0</v>
      </c>
      <c r="BW97" s="35">
        <f t="shared" si="257"/>
        <v>0</v>
      </c>
      <c r="BX97" s="87"/>
      <c r="BY97" s="87">
        <f t="shared" si="236"/>
        <v>0</v>
      </c>
      <c r="BZ97" s="77" t="str">
        <f t="shared" si="237"/>
        <v xml:space="preserve">   </v>
      </c>
      <c r="CA97" s="87">
        <f>IF($A97&gt;BY$58, 0, SUM(BY97:BY$117)*BZ97*BY$133/BY$134+SUM(BY98:BY$117)*(BY$134-BY$133)/BY$134*BZ97)</f>
        <v>0</v>
      </c>
      <c r="CB97" s="87"/>
      <c r="CC97" s="87">
        <f t="shared" si="238"/>
        <v>0</v>
      </c>
      <c r="CD97" s="77" t="str">
        <f t="shared" si="239"/>
        <v xml:space="preserve">   </v>
      </c>
      <c r="CE97" s="87">
        <f>IF($A97&gt;CC$58, 0, SUM(CC97:CC$117)*CD97*CC$133/CC$134+SUM(CC98:CC$117)*(CC$134-CC$133)/CC$134*CD97)</f>
        <v>0</v>
      </c>
      <c r="CF97" s="87"/>
      <c r="CG97" s="87"/>
      <c r="CH97" s="77"/>
      <c r="CI97" s="87"/>
      <c r="CJ97" s="87"/>
      <c r="CK97" s="87">
        <f t="shared" si="240"/>
        <v>0</v>
      </c>
      <c r="CL97" s="77">
        <f t="shared" si="241"/>
        <v>3.8449999999999998E-2</v>
      </c>
      <c r="CM97" s="87">
        <f>IF($A97&gt;CK$58, 0, SUM(CK97:CK$117)*CL97*CK$133/CK$134+SUM(CK98:CK$117)*(CK$134-CK$133)/CK$134*CL97)</f>
        <v>2883750</v>
      </c>
      <c r="CN97" s="87"/>
      <c r="CO97" s="162">
        <f t="shared" si="242"/>
        <v>0</v>
      </c>
      <c r="CP97" s="87">
        <f t="shared" si="243"/>
        <v>2883750</v>
      </c>
      <c r="CQ97" s="32"/>
      <c r="CR97" s="87">
        <f t="shared" si="244"/>
        <v>0</v>
      </c>
      <c r="CS97" s="77" t="str">
        <f t="shared" si="245"/>
        <v xml:space="preserve">   </v>
      </c>
      <c r="CT97" s="87">
        <f>IF($A97&gt;CR$58, 0, SUM(CR97:CR$117)*CS97*CR$133/CR$134+SUM(CR98:CR$117)*(CR$134-CR$133)/CR$134*CS97)</f>
        <v>0</v>
      </c>
      <c r="CZ97" s="165">
        <f t="shared" si="246"/>
        <v>0</v>
      </c>
      <c r="DA97" s="165">
        <f t="shared" si="247"/>
        <v>0</v>
      </c>
      <c r="DB97" s="87"/>
      <c r="DC97" s="87">
        <f t="shared" si="258"/>
        <v>0</v>
      </c>
      <c r="DD97" s="77" t="str">
        <f t="shared" si="248"/>
        <v>---</v>
      </c>
      <c r="DE97" s="87">
        <f t="shared" si="249"/>
        <v>0</v>
      </c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W97" s="165">
        <f t="shared" si="259"/>
        <v>0</v>
      </c>
      <c r="DX97" s="165">
        <f t="shared" si="260"/>
        <v>6352150</v>
      </c>
      <c r="DY97" s="87"/>
      <c r="DZ97" s="53">
        <f t="shared" si="250"/>
        <v>2040</v>
      </c>
      <c r="EA97" s="35">
        <f t="shared" si="251"/>
        <v>0</v>
      </c>
      <c r="EB97" s="35">
        <f t="shared" si="252"/>
        <v>6352150</v>
      </c>
      <c r="EC97" s="35"/>
      <c r="ED97" s="49">
        <f t="shared" si="261"/>
        <v>17</v>
      </c>
    </row>
    <row r="98" spans="1:134" s="33" customFormat="1" outlineLevel="1">
      <c r="A98" s="7">
        <f t="shared" si="253"/>
        <v>2041</v>
      </c>
      <c r="B98" s="151">
        <f>Assumptions!B25</f>
        <v>5.3800000000000001E-2</v>
      </c>
      <c r="C98" s="151">
        <f>Assumptions!C25</f>
        <v>5.3800000000000001E-2</v>
      </c>
      <c r="D98" s="151">
        <f>Assumptions!D25</f>
        <v>3.5000000000000003E-2</v>
      </c>
      <c r="E98" s="151">
        <f>Assumptions!E25</f>
        <v>5.2999999999999999E-2</v>
      </c>
      <c r="F98" s="8"/>
      <c r="G98" s="8"/>
      <c r="H98" s="8"/>
      <c r="I98" s="8"/>
      <c r="J98" s="8"/>
      <c r="K98" s="8"/>
      <c r="L98" s="8"/>
      <c r="M98" s="87">
        <f t="shared" si="212"/>
        <v>0</v>
      </c>
      <c r="N98" s="77" t="str">
        <f t="shared" si="213"/>
        <v xml:space="preserve">   </v>
      </c>
      <c r="O98" s="87">
        <f>IF($A98&gt;M$58, 0, SUM(M98:M$117)*N98*M$133/M$134+SUM(M99:M$117)*(M$134-M$133)/M$134*N98)</f>
        <v>0</v>
      </c>
      <c r="P98" s="35"/>
      <c r="Q98" s="87">
        <f t="shared" si="214"/>
        <v>0</v>
      </c>
      <c r="R98" s="77" t="str">
        <f t="shared" si="215"/>
        <v xml:space="preserve">   </v>
      </c>
      <c r="S98" s="87">
        <f>IF($A98&gt;Q$58, 0, SUM(Q98:Q$117)*R98*Q$133/Q$134+SUM(Q99:Q$117)*(Q$134-Q$133)/Q$134*R98)</f>
        <v>0</v>
      </c>
      <c r="T98" s="35"/>
      <c r="U98" s="35">
        <f t="shared" si="216"/>
        <v>0</v>
      </c>
      <c r="V98" s="35">
        <f t="shared" si="217"/>
        <v>0</v>
      </c>
      <c r="W98" s="35"/>
      <c r="X98" s="87">
        <f t="shared" si="218"/>
        <v>0</v>
      </c>
      <c r="Y98" s="77" t="str">
        <f t="shared" si="219"/>
        <v xml:space="preserve">   </v>
      </c>
      <c r="Z98" s="87">
        <f>IF($A98&gt;X$58, 0, SUM(X98:X$117)*Y98*X$133/X$134+SUM(X99:X$117)*(X$134-X$133)/X$134*Y98)</f>
        <v>0</v>
      </c>
      <c r="AA98" s="87"/>
      <c r="AB98" s="87">
        <f t="shared" si="220"/>
        <v>0</v>
      </c>
      <c r="AC98" s="77" t="str">
        <f t="shared" si="221"/>
        <v xml:space="preserve">   </v>
      </c>
      <c r="AD98" s="87">
        <f>IF($A98&gt;AB$58, 0, SUM(AB98:AB$117)*AC98*AB$133/AB$134+SUM(AB99:AB$117)*(AB$134-AB$133)/AB$134*AC98)</f>
        <v>0</v>
      </c>
      <c r="AE98" s="35"/>
      <c r="AF98" s="87">
        <f t="shared" si="222"/>
        <v>0</v>
      </c>
      <c r="AG98" s="77" t="str">
        <f t="shared" si="223"/>
        <v xml:space="preserve">   </v>
      </c>
      <c r="AH98" s="87">
        <f>IF($A98&gt;AF$58, 0, SUM(AF98:AF$117)*AG98*AF$133/AF$134+SUM(AF99:AF$117)*(AF$134-AF$133)/AF$134*AG98)</f>
        <v>0</v>
      </c>
      <c r="AI98" s="35"/>
      <c r="AJ98" s="87"/>
      <c r="AK98" s="77"/>
      <c r="AL98" s="87"/>
      <c r="AM98" s="36"/>
      <c r="AN98" s="87">
        <f t="shared" si="224"/>
        <v>0</v>
      </c>
      <c r="AO98" s="77" t="str">
        <f>IF($A98&gt;AN$128, "   ", IF(AN$124="VRDB", $D98+$E98+#REF!, IF(AN$124="1M LIBOR", $B98*AN$125+AN$126, IF(AN$124="3M LIBOR", $C98*AN$125+AN$126, IF(AN$124="R-FLOATs", $D98+#REF!+#REF!, 0)))))</f>
        <v xml:space="preserve">   </v>
      </c>
      <c r="AP98" s="87">
        <f>IF($A98&gt;AN$128, 0, SUM(AN98:AN$117)*AO98*AN$133/AN$134+SUM(AN99:AN$117)*AO98*AN$133/AN$134)</f>
        <v>0</v>
      </c>
      <c r="AQ98" s="35"/>
      <c r="AR98" s="87">
        <f t="shared" si="225"/>
        <v>0</v>
      </c>
      <c r="AS98" s="77" t="str">
        <f>IF($A98&gt;AR$128, "   ", IF(AR$124="VRDB", $D98+$E98+#REF!, IF(AR$124="1M LIBOR", $B98*AR$125+AR$126, IF(AR$124="3M LIBOR", $C98*AR$125+AR$126, IF(AR$124="R-FLOATs", $D98+#REF!+#REF!, 0)))))</f>
        <v xml:space="preserve">   </v>
      </c>
      <c r="AT98" s="87">
        <f>IF($A98&gt;AR$128, 0, SUM(AR98:AR$117)*AS98*AR$133/AR$134+SUM(AR99:AR$117)*AS98*AR$133/AR$134)</f>
        <v>0</v>
      </c>
      <c r="AV98" s="35">
        <f t="shared" si="226"/>
        <v>0</v>
      </c>
      <c r="AW98" s="35">
        <f t="shared" si="227"/>
        <v>0</v>
      </c>
      <c r="AX98" s="35"/>
      <c r="AY98" s="87">
        <f t="shared" si="228"/>
        <v>0</v>
      </c>
      <c r="AZ98" s="77" t="str">
        <f t="shared" si="229"/>
        <v xml:space="preserve">   </v>
      </c>
      <c r="BA98" s="87">
        <f>IF($A98&gt;AY$58, 0, SUM(AY98:AY$117)*AZ98*AY$133/AY$134+SUM(AY99:AY$117)*(AY$134-AY$133)/AY$134*AZ98)</f>
        <v>0</v>
      </c>
      <c r="BB98" s="61"/>
      <c r="BC98" s="87">
        <f t="shared" si="230"/>
        <v>0</v>
      </c>
      <c r="BD98" s="77">
        <f t="shared" si="231"/>
        <v>3.9621000000000003E-2</v>
      </c>
      <c r="BE98" s="87">
        <f>IF($A98&gt;BC$128, 0, SUM(BC98:BC$117)*BD98*BC$133/BC$134+SUM(BC99:BC$117)*BD98*BC$133/BC$134)</f>
        <v>990525</v>
      </c>
      <c r="BF98" s="61"/>
      <c r="BG98" s="87">
        <f t="shared" si="232"/>
        <v>0</v>
      </c>
      <c r="BH98" s="77">
        <f t="shared" si="233"/>
        <v>3.9646000000000001E-2</v>
      </c>
      <c r="BI98" s="87">
        <f>IF($A98&gt;BG$128, 0, SUM(BG98:BG$117)*BH98*BG$133/BG$134+SUM(BG99:BG$117)*BH98*BG$133/BG$134)</f>
        <v>2477875</v>
      </c>
      <c r="BJ98" s="61"/>
      <c r="BK98" s="35">
        <f t="shared" si="254"/>
        <v>0</v>
      </c>
      <c r="BL98" s="35">
        <f t="shared" si="255"/>
        <v>3468400</v>
      </c>
      <c r="BM98" s="8"/>
      <c r="BN98" s="87">
        <f t="shared" si="234"/>
        <v>0</v>
      </c>
      <c r="BO98" s="77" t="str">
        <f t="shared" si="235"/>
        <v xml:space="preserve">   </v>
      </c>
      <c r="BP98" s="87">
        <f>IF($A98&gt;BN$58, 0, SUM(BN98:BN$117)*BO98*BN$133/BN$134+SUM(BN99:BN$117)*(BN$134-BN$133)/BN$134*BO98)</f>
        <v>0</v>
      </c>
      <c r="BQ98" s="77"/>
      <c r="BR98" s="87"/>
      <c r="BS98" s="77"/>
      <c r="BT98" s="87"/>
      <c r="BU98" s="87"/>
      <c r="BV98" s="35">
        <f t="shared" si="256"/>
        <v>0</v>
      </c>
      <c r="BW98" s="35">
        <f t="shared" si="257"/>
        <v>0</v>
      </c>
      <c r="BX98" s="87"/>
      <c r="BY98" s="87">
        <f t="shared" si="236"/>
        <v>0</v>
      </c>
      <c r="BZ98" s="77" t="str">
        <f t="shared" si="237"/>
        <v xml:space="preserve">   </v>
      </c>
      <c r="CA98" s="87">
        <f>IF($A98&gt;BY$58, 0, SUM(BY98:BY$117)*BZ98*BY$133/BY$134+SUM(BY99:BY$117)*(BY$134-BY$133)/BY$134*BZ98)</f>
        <v>0</v>
      </c>
      <c r="CB98" s="87"/>
      <c r="CC98" s="87">
        <f t="shared" si="238"/>
        <v>0</v>
      </c>
      <c r="CD98" s="77" t="str">
        <f t="shared" si="239"/>
        <v xml:space="preserve">   </v>
      </c>
      <c r="CE98" s="87">
        <f>IF($A98&gt;CC$58, 0, SUM(CC98:CC$117)*CD98*CC$133/CC$134+SUM(CC99:CC$117)*(CC$134-CC$133)/CC$134*CD98)</f>
        <v>0</v>
      </c>
      <c r="CF98" s="87"/>
      <c r="CG98" s="87"/>
      <c r="CH98" s="77"/>
      <c r="CI98" s="87"/>
      <c r="CJ98" s="87"/>
      <c r="CK98" s="87">
        <f t="shared" si="240"/>
        <v>0</v>
      </c>
      <c r="CL98" s="77">
        <f t="shared" si="241"/>
        <v>3.8449999999999998E-2</v>
      </c>
      <c r="CM98" s="87">
        <f>IF($A98&gt;CK$58, 0, SUM(CK98:CK$117)*CL98*CK$133/CK$134+SUM(CK99:CK$117)*(CK$134-CK$133)/CK$134*CL98)</f>
        <v>2883750</v>
      </c>
      <c r="CN98" s="87"/>
      <c r="CO98" s="162">
        <f t="shared" si="242"/>
        <v>0</v>
      </c>
      <c r="CP98" s="87">
        <f t="shared" si="243"/>
        <v>2883750</v>
      </c>
      <c r="CQ98" s="32"/>
      <c r="CR98" s="87">
        <f t="shared" si="244"/>
        <v>0</v>
      </c>
      <c r="CS98" s="77" t="str">
        <f t="shared" si="245"/>
        <v xml:space="preserve">   </v>
      </c>
      <c r="CT98" s="87">
        <f>IF($A98&gt;CR$58, 0, SUM(CR98:CR$117)*CS98*CR$133/CR$134+SUM(CR99:CR$117)*(CR$134-CR$133)/CR$134*CS98)</f>
        <v>0</v>
      </c>
      <c r="CZ98" s="165">
        <f t="shared" si="246"/>
        <v>0</v>
      </c>
      <c r="DA98" s="165">
        <f t="shared" si="247"/>
        <v>0</v>
      </c>
      <c r="DB98" s="87"/>
      <c r="DC98" s="87">
        <f t="shared" si="258"/>
        <v>0</v>
      </c>
      <c r="DD98" s="77" t="str">
        <f t="shared" si="248"/>
        <v>---</v>
      </c>
      <c r="DE98" s="87">
        <f t="shared" si="249"/>
        <v>0</v>
      </c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W98" s="165">
        <f t="shared" si="259"/>
        <v>0</v>
      </c>
      <c r="DX98" s="165">
        <f t="shared" si="260"/>
        <v>6352150</v>
      </c>
      <c r="DY98" s="87"/>
      <c r="DZ98" s="53">
        <f t="shared" si="250"/>
        <v>2041</v>
      </c>
      <c r="EA98" s="35">
        <f t="shared" si="251"/>
        <v>0</v>
      </c>
      <c r="EB98" s="35">
        <f t="shared" si="252"/>
        <v>6352150</v>
      </c>
      <c r="EC98" s="35"/>
      <c r="ED98" s="49">
        <f t="shared" si="261"/>
        <v>18</v>
      </c>
    </row>
    <row r="99" spans="1:134" s="33" customFormat="1" outlineLevel="1">
      <c r="A99" s="7">
        <f t="shared" si="253"/>
        <v>2042</v>
      </c>
      <c r="B99" s="151">
        <f>Assumptions!B26</f>
        <v>5.3800000000000001E-2</v>
      </c>
      <c r="C99" s="151">
        <f>Assumptions!C26</f>
        <v>5.3800000000000001E-2</v>
      </c>
      <c r="D99" s="151">
        <f>Assumptions!D26</f>
        <v>3.5000000000000003E-2</v>
      </c>
      <c r="E99" s="151">
        <f>Assumptions!E26</f>
        <v>5.2999999999999999E-2</v>
      </c>
      <c r="F99" s="8"/>
      <c r="G99" s="8"/>
      <c r="H99" s="8"/>
      <c r="I99" s="8"/>
      <c r="J99" s="8"/>
      <c r="K99" s="8"/>
      <c r="L99" s="8"/>
      <c r="M99" s="87">
        <f t="shared" si="212"/>
        <v>0</v>
      </c>
      <c r="N99" s="77" t="str">
        <f t="shared" si="213"/>
        <v xml:space="preserve">   </v>
      </c>
      <c r="O99" s="87">
        <f>IF($A99&gt;M$58, 0, SUM(M99:M$117)*N99*M$133/M$134+SUM(M100:M$117)*(M$134-M$133)/M$134*N99)</f>
        <v>0</v>
      </c>
      <c r="P99" s="35"/>
      <c r="Q99" s="87">
        <f t="shared" si="214"/>
        <v>0</v>
      </c>
      <c r="R99" s="77" t="str">
        <f t="shared" si="215"/>
        <v xml:space="preserve">   </v>
      </c>
      <c r="S99" s="87">
        <f>IF($A99&gt;Q$58, 0, SUM(Q99:Q$117)*R99*Q$133/Q$134+SUM(Q100:Q$117)*(Q$134-Q$133)/Q$134*R99)</f>
        <v>0</v>
      </c>
      <c r="T99" s="35"/>
      <c r="U99" s="35">
        <f t="shared" si="216"/>
        <v>0</v>
      </c>
      <c r="V99" s="35">
        <f t="shared" si="217"/>
        <v>0</v>
      </c>
      <c r="W99" s="35"/>
      <c r="X99" s="87">
        <f t="shared" si="218"/>
        <v>0</v>
      </c>
      <c r="Y99" s="77" t="str">
        <f t="shared" si="219"/>
        <v xml:space="preserve">   </v>
      </c>
      <c r="Z99" s="87">
        <f>IF($A99&gt;X$58, 0, SUM(X99:X$117)*Y99*X$133/X$134+SUM(X100:X$117)*(X$134-X$133)/X$134*Y99)</f>
        <v>0</v>
      </c>
      <c r="AA99" s="87"/>
      <c r="AB99" s="87">
        <f t="shared" si="220"/>
        <v>0</v>
      </c>
      <c r="AC99" s="77" t="str">
        <f t="shared" si="221"/>
        <v xml:space="preserve">   </v>
      </c>
      <c r="AD99" s="87">
        <f>IF($A99&gt;AB$58, 0, SUM(AB99:AB$117)*AC99*AB$133/AB$134+SUM(AB100:AB$117)*(AB$134-AB$133)/AB$134*AC99)</f>
        <v>0</v>
      </c>
      <c r="AE99" s="35"/>
      <c r="AF99" s="87">
        <f t="shared" si="222"/>
        <v>0</v>
      </c>
      <c r="AG99" s="77" t="str">
        <f t="shared" si="223"/>
        <v xml:space="preserve">   </v>
      </c>
      <c r="AH99" s="87">
        <f>IF($A99&gt;AF$58, 0, SUM(AF99:AF$117)*AG99*AF$133/AF$134+SUM(AF100:AF$117)*(AF$134-AF$133)/AF$134*AG99)</f>
        <v>0</v>
      </c>
      <c r="AI99" s="35"/>
      <c r="AJ99" s="87"/>
      <c r="AK99" s="77"/>
      <c r="AL99" s="87"/>
      <c r="AM99" s="35"/>
      <c r="AN99" s="87">
        <f t="shared" si="224"/>
        <v>0</v>
      </c>
      <c r="AO99" s="77" t="str">
        <f>IF($A99&gt;AN$128, "   ", IF(AN$124="VRDB", $D99+$E99+#REF!, IF(AN$124="1M LIBOR", $B99*AN$125+AN$126, IF(AN$124="3M LIBOR", $C99*AN$125+AN$126, IF(AN$124="R-FLOATs", $D99+#REF!+#REF!, 0)))))</f>
        <v xml:space="preserve">   </v>
      </c>
      <c r="AP99" s="87">
        <f>IF($A99&gt;AN$128, 0, SUM(AN99:AN$117)*AO99*AN$133/AN$134+SUM(AN100:AN$117)*AO99*AN$133/AN$134)</f>
        <v>0</v>
      </c>
      <c r="AQ99" s="35"/>
      <c r="AR99" s="87">
        <f t="shared" si="225"/>
        <v>0</v>
      </c>
      <c r="AS99" s="77" t="str">
        <f>IF($A99&gt;AR$128, "   ", IF(AR$124="VRDB", $D99+$E99+#REF!, IF(AR$124="1M LIBOR", $B99*AR$125+AR$126, IF(AR$124="3M LIBOR", $C99*AR$125+AR$126, IF(AR$124="R-FLOATs", $D99+#REF!+#REF!, 0)))))</f>
        <v xml:space="preserve">   </v>
      </c>
      <c r="AT99" s="87">
        <f>IF($A99&gt;AR$128, 0, SUM(AR99:AR$117)*AS99*AR$133/AR$134+SUM(AR100:AR$117)*AS99*AR$133/AR$134)</f>
        <v>0</v>
      </c>
      <c r="AV99" s="35">
        <f t="shared" si="226"/>
        <v>0</v>
      </c>
      <c r="AW99" s="35">
        <f t="shared" si="227"/>
        <v>0</v>
      </c>
      <c r="AX99" s="35"/>
      <c r="AY99" s="87">
        <f t="shared" si="228"/>
        <v>0</v>
      </c>
      <c r="AZ99" s="77" t="str">
        <f t="shared" si="229"/>
        <v xml:space="preserve">   </v>
      </c>
      <c r="BA99" s="87">
        <f>IF($A99&gt;AY$58, 0, SUM(AY99:AY$117)*AZ99*AY$133/AY$134+SUM(AY100:AY$117)*(AY$134-AY$133)/AY$134*AZ99)</f>
        <v>0</v>
      </c>
      <c r="BB99" s="61"/>
      <c r="BC99" s="87">
        <f t="shared" si="230"/>
        <v>0</v>
      </c>
      <c r="BD99" s="77">
        <f t="shared" si="231"/>
        <v>3.9621000000000003E-2</v>
      </c>
      <c r="BE99" s="87">
        <f>IF($A99&gt;BC$128, 0, SUM(BC99:BC$117)*BD99*BC$133/BC$134+SUM(BC100:BC$117)*BD99*BC$133/BC$134)</f>
        <v>990525</v>
      </c>
      <c r="BF99" s="61"/>
      <c r="BG99" s="87">
        <f t="shared" si="232"/>
        <v>0</v>
      </c>
      <c r="BH99" s="77">
        <f t="shared" si="233"/>
        <v>3.9646000000000001E-2</v>
      </c>
      <c r="BI99" s="87">
        <f>IF($A99&gt;BG$128, 0, SUM(BG99:BG$117)*BH99*BG$133/BG$134+SUM(BG100:BG$117)*BH99*BG$133/BG$134)</f>
        <v>2477875</v>
      </c>
      <c r="BJ99" s="61"/>
      <c r="BK99" s="35">
        <f t="shared" si="254"/>
        <v>0</v>
      </c>
      <c r="BL99" s="35">
        <f t="shared" si="255"/>
        <v>3468400</v>
      </c>
      <c r="BM99" s="8"/>
      <c r="BN99" s="87">
        <f t="shared" si="234"/>
        <v>0</v>
      </c>
      <c r="BO99" s="77" t="str">
        <f t="shared" si="235"/>
        <v xml:space="preserve">   </v>
      </c>
      <c r="BP99" s="87">
        <f>IF($A99&gt;BN$58, 0, SUM(BN99:BN$117)*BO99*BN$133/BN$134+SUM(BN100:BN$117)*(BN$134-BN$133)/BN$134*BO99)</f>
        <v>0</v>
      </c>
      <c r="BQ99" s="77"/>
      <c r="BR99" s="87"/>
      <c r="BS99" s="77"/>
      <c r="BT99" s="87"/>
      <c r="BU99" s="87"/>
      <c r="BV99" s="35">
        <f t="shared" si="256"/>
        <v>0</v>
      </c>
      <c r="BW99" s="35">
        <f t="shared" si="257"/>
        <v>0</v>
      </c>
      <c r="BX99" s="87"/>
      <c r="BY99" s="87">
        <f t="shared" si="236"/>
        <v>0</v>
      </c>
      <c r="BZ99" s="77" t="str">
        <f t="shared" si="237"/>
        <v xml:space="preserve">   </v>
      </c>
      <c r="CA99" s="87">
        <f>IF($A99&gt;BY$58, 0, SUM(BY99:BY$117)*BZ99*BY$133/BY$134+SUM(BY100:BY$117)*(BY$134-BY$133)/BY$134*BZ99)</f>
        <v>0</v>
      </c>
      <c r="CB99" s="87"/>
      <c r="CC99" s="87">
        <f t="shared" si="238"/>
        <v>0</v>
      </c>
      <c r="CD99" s="77" t="str">
        <f t="shared" si="239"/>
        <v xml:space="preserve">   </v>
      </c>
      <c r="CE99" s="87">
        <f>IF($A99&gt;CC$58, 0, SUM(CC99:CC$117)*CD99*CC$133/CC$134+SUM(CC100:CC$117)*(CC$134-CC$133)/CC$134*CD99)</f>
        <v>0</v>
      </c>
      <c r="CF99" s="87"/>
      <c r="CG99" s="87"/>
      <c r="CH99" s="77"/>
      <c r="CI99" s="87"/>
      <c r="CJ99" s="87"/>
      <c r="CK99" s="87">
        <f t="shared" si="240"/>
        <v>0</v>
      </c>
      <c r="CL99" s="77">
        <f t="shared" si="241"/>
        <v>3.8449999999999998E-2</v>
      </c>
      <c r="CM99" s="87">
        <f>IF($A99&gt;CK$58, 0, SUM(CK99:CK$117)*CL99*CK$133/CK$134+SUM(CK100:CK$117)*(CK$134-CK$133)/CK$134*CL99)</f>
        <v>2883750</v>
      </c>
      <c r="CN99" s="87"/>
      <c r="CO99" s="162">
        <f t="shared" si="242"/>
        <v>0</v>
      </c>
      <c r="CP99" s="87">
        <f t="shared" si="243"/>
        <v>2883750</v>
      </c>
      <c r="CQ99" s="32"/>
      <c r="CR99" s="87">
        <f t="shared" si="244"/>
        <v>0</v>
      </c>
      <c r="CS99" s="77" t="str">
        <f t="shared" si="245"/>
        <v xml:space="preserve">   </v>
      </c>
      <c r="CT99" s="87">
        <f>IF($A99&gt;CR$58, 0, SUM(CR99:CR$117)*CS99*CR$133/CR$134+SUM(CR100:CR$117)*(CR$134-CR$133)/CR$134*CS99)</f>
        <v>0</v>
      </c>
      <c r="CZ99" s="165">
        <f t="shared" si="246"/>
        <v>0</v>
      </c>
      <c r="DA99" s="165">
        <f t="shared" si="247"/>
        <v>0</v>
      </c>
      <c r="DB99" s="87"/>
      <c r="DC99" s="87">
        <f t="shared" si="258"/>
        <v>0</v>
      </c>
      <c r="DD99" s="77" t="str">
        <f t="shared" si="248"/>
        <v>---</v>
      </c>
      <c r="DE99" s="87">
        <f t="shared" si="249"/>
        <v>0</v>
      </c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W99" s="165">
        <f t="shared" si="259"/>
        <v>0</v>
      </c>
      <c r="DX99" s="165">
        <f t="shared" si="260"/>
        <v>6352150</v>
      </c>
      <c r="DY99" s="87"/>
      <c r="DZ99" s="53">
        <f t="shared" si="250"/>
        <v>2042</v>
      </c>
      <c r="EA99" s="35">
        <f t="shared" si="251"/>
        <v>0</v>
      </c>
      <c r="EB99" s="35">
        <f t="shared" si="252"/>
        <v>6352150</v>
      </c>
      <c r="EC99" s="35"/>
      <c r="ED99" s="49">
        <f t="shared" si="261"/>
        <v>19</v>
      </c>
    </row>
    <row r="100" spans="1:134" s="33" customFormat="1" outlineLevel="1">
      <c r="A100" s="7">
        <f t="shared" si="253"/>
        <v>2043</v>
      </c>
      <c r="B100" s="151">
        <f>Assumptions!B27</f>
        <v>5.3800000000000001E-2</v>
      </c>
      <c r="C100" s="151">
        <f>Assumptions!C27</f>
        <v>5.3800000000000001E-2</v>
      </c>
      <c r="D100" s="151">
        <f>Assumptions!D27</f>
        <v>3.5000000000000003E-2</v>
      </c>
      <c r="E100" s="151">
        <f>Assumptions!E27</f>
        <v>5.2999999999999999E-2</v>
      </c>
      <c r="F100" s="8"/>
      <c r="G100" s="8"/>
      <c r="H100" s="8"/>
      <c r="I100" s="8"/>
      <c r="J100" s="8"/>
      <c r="K100" s="8"/>
      <c r="L100" s="8"/>
      <c r="M100" s="87">
        <f t="shared" si="212"/>
        <v>0</v>
      </c>
      <c r="N100" s="77" t="str">
        <f t="shared" si="213"/>
        <v xml:space="preserve">   </v>
      </c>
      <c r="O100" s="87">
        <f>IF($A100&gt;M$58, 0, SUM(M100:M$117)*N100*M$133/M$134+SUM(M101:M$117)*(M$134-M$133)/M$134*N100)</f>
        <v>0</v>
      </c>
      <c r="P100" s="35"/>
      <c r="Q100" s="87">
        <f t="shared" si="214"/>
        <v>0</v>
      </c>
      <c r="R100" s="77" t="str">
        <f t="shared" si="215"/>
        <v xml:space="preserve">   </v>
      </c>
      <c r="S100" s="87">
        <f>IF($A100&gt;Q$58, 0, SUM(Q100:Q$117)*R100*Q$133/Q$134+SUM(Q101:Q$117)*(Q$134-Q$133)/Q$134*R100)</f>
        <v>0</v>
      </c>
      <c r="T100" s="35"/>
      <c r="U100" s="35">
        <f t="shared" si="216"/>
        <v>0</v>
      </c>
      <c r="V100" s="35">
        <f t="shared" si="217"/>
        <v>0</v>
      </c>
      <c r="W100" s="2"/>
      <c r="X100" s="87">
        <f t="shared" si="218"/>
        <v>0</v>
      </c>
      <c r="Y100" s="77" t="str">
        <f t="shared" si="219"/>
        <v xml:space="preserve">   </v>
      </c>
      <c r="Z100" s="87">
        <f>IF($A100&gt;X$58, 0, SUM(X100:X$117)*Y100*X$133/X$134+SUM(X101:X$117)*(X$134-X$133)/X$134*Y100)</f>
        <v>0</v>
      </c>
      <c r="AA100" s="87"/>
      <c r="AB100" s="87">
        <f t="shared" si="220"/>
        <v>0</v>
      </c>
      <c r="AC100" s="77" t="str">
        <f t="shared" si="221"/>
        <v xml:space="preserve">   </v>
      </c>
      <c r="AD100" s="87">
        <f>IF($A100&gt;AB$58, 0, SUM(AB100:AB$117)*AC100*AB$133/AB$134+SUM(AB101:AB$117)*(AB$134-AB$133)/AB$134*AC100)</f>
        <v>0</v>
      </c>
      <c r="AE100" s="35"/>
      <c r="AF100" s="87">
        <f t="shared" si="222"/>
        <v>0</v>
      </c>
      <c r="AG100" s="77" t="str">
        <f t="shared" si="223"/>
        <v xml:space="preserve">   </v>
      </c>
      <c r="AH100" s="87">
        <f>IF($A100&gt;AF$58, 0, SUM(AF100:AF$117)*AG100*AF$133/AF$134+SUM(AF101:AF$117)*(AF$134-AF$133)/AF$134*AG100)</f>
        <v>0</v>
      </c>
      <c r="AI100" s="35"/>
      <c r="AJ100" s="87"/>
      <c r="AK100" s="77"/>
      <c r="AL100" s="87"/>
      <c r="AM100" s="35"/>
      <c r="AN100" s="87">
        <f t="shared" si="224"/>
        <v>0</v>
      </c>
      <c r="AO100" s="77" t="str">
        <f>IF($A100&gt;AN$128, "   ", IF(AN$124="VRDB", $D100+$E100+#REF!, IF(AN$124="1M LIBOR", $B100*AN$125+AN$126, IF(AN$124="3M LIBOR", $C100*AN$125+AN$126, IF(AN$124="R-FLOATs", $D100+#REF!+#REF!, 0)))))</f>
        <v xml:space="preserve">   </v>
      </c>
      <c r="AP100" s="87">
        <f>IF($A100&gt;AN$128, 0, SUM(AN100:AN$117)*AO100*AN$133/AN$134+SUM(AN101:AN$117)*AO100*AN$133/AN$134)</f>
        <v>0</v>
      </c>
      <c r="AQ100" s="35"/>
      <c r="AR100" s="87">
        <f t="shared" si="225"/>
        <v>0</v>
      </c>
      <c r="AS100" s="77" t="str">
        <f>IF($A100&gt;AR$128, "   ", IF(AR$124="VRDB", $D100+$E100+#REF!, IF(AR$124="1M LIBOR", $B100*AR$125+AR$126, IF(AR$124="3M LIBOR", $C100*AR$125+AR$126, IF(AR$124="R-FLOATs", $D100+#REF!+#REF!, 0)))))</f>
        <v xml:space="preserve">   </v>
      </c>
      <c r="AT100" s="87">
        <f>IF($A100&gt;AR$128, 0, SUM(AR100:AR$117)*AS100*AR$133/AR$134+SUM(AR101:AR$117)*AS100*AR$133/AR$134)</f>
        <v>0</v>
      </c>
      <c r="AV100" s="35">
        <f t="shared" si="226"/>
        <v>0</v>
      </c>
      <c r="AW100" s="35">
        <f t="shared" si="227"/>
        <v>0</v>
      </c>
      <c r="AX100" s="35"/>
      <c r="AY100" s="87">
        <f t="shared" si="228"/>
        <v>0</v>
      </c>
      <c r="AZ100" s="77" t="str">
        <f t="shared" si="229"/>
        <v xml:space="preserve">   </v>
      </c>
      <c r="BA100" s="87">
        <f>IF($A100&gt;AY$58, 0, SUM(AY100:AY$117)*AZ100*AY$133/AY$134+SUM(AY101:AY$117)*(AY$134-AY$133)/AY$134*AZ100)</f>
        <v>0</v>
      </c>
      <c r="BB100" s="61"/>
      <c r="BC100" s="87">
        <f t="shared" si="230"/>
        <v>0</v>
      </c>
      <c r="BD100" s="77">
        <f t="shared" si="231"/>
        <v>3.9621000000000003E-2</v>
      </c>
      <c r="BE100" s="87">
        <f>IF($A100&gt;BC$128, 0, SUM(BC100:BC$117)*BD100*BC$133/BC$134+SUM(BC101:BC$117)*BD100*BC$133/BC$134)</f>
        <v>990525</v>
      </c>
      <c r="BF100" s="61"/>
      <c r="BG100" s="87">
        <f t="shared" si="232"/>
        <v>0</v>
      </c>
      <c r="BH100" s="77">
        <f t="shared" si="233"/>
        <v>3.9646000000000001E-2</v>
      </c>
      <c r="BI100" s="87">
        <f>IF($A100&gt;BG$128, 0, SUM(BG100:BG$117)*BH100*BG$133/BG$134+SUM(BG101:BG$117)*BH100*BG$133/BG$134)</f>
        <v>2477875</v>
      </c>
      <c r="BJ100" s="61"/>
      <c r="BK100" s="35">
        <f t="shared" si="254"/>
        <v>0</v>
      </c>
      <c r="BL100" s="35">
        <f t="shared" si="255"/>
        <v>3468400</v>
      </c>
      <c r="BM100" s="8"/>
      <c r="BN100" s="87">
        <f t="shared" si="234"/>
        <v>0</v>
      </c>
      <c r="BO100" s="77" t="str">
        <f t="shared" si="235"/>
        <v xml:space="preserve">   </v>
      </c>
      <c r="BP100" s="87">
        <f>IF($A100&gt;BN$58, 0, SUM(BN100:BN$117)*BO100*BN$133/BN$134+SUM(BN101:BN$117)*(BN$134-BN$133)/BN$134*BO100)</f>
        <v>0</v>
      </c>
      <c r="BQ100" s="77"/>
      <c r="BR100" s="87"/>
      <c r="BS100" s="77"/>
      <c r="BT100" s="87"/>
      <c r="BU100" s="87"/>
      <c r="BV100" s="35">
        <f t="shared" si="256"/>
        <v>0</v>
      </c>
      <c r="BW100" s="35">
        <f t="shared" si="257"/>
        <v>0</v>
      </c>
      <c r="BX100" s="87"/>
      <c r="BY100" s="87">
        <f t="shared" si="236"/>
        <v>0</v>
      </c>
      <c r="BZ100" s="77" t="str">
        <f t="shared" si="237"/>
        <v xml:space="preserve">   </v>
      </c>
      <c r="CA100" s="87">
        <f>IF($A100&gt;BY$58, 0, SUM(BY100:BY$117)*BZ100*BY$133/BY$134+SUM(BY101:BY$117)*(BY$134-BY$133)/BY$134*BZ100)</f>
        <v>0</v>
      </c>
      <c r="CB100" s="87"/>
      <c r="CC100" s="87">
        <f t="shared" si="238"/>
        <v>0</v>
      </c>
      <c r="CD100" s="77" t="str">
        <f t="shared" si="239"/>
        <v xml:space="preserve">   </v>
      </c>
      <c r="CE100" s="87">
        <f>IF($A100&gt;CC$58, 0, SUM(CC100:CC$117)*CD100*CC$133/CC$134+SUM(CC101:CC$117)*(CC$134-CC$133)/CC$134*CD100)</f>
        <v>0</v>
      </c>
      <c r="CF100" s="87"/>
      <c r="CG100" s="87"/>
      <c r="CH100" s="77"/>
      <c r="CI100" s="87"/>
      <c r="CJ100" s="87"/>
      <c r="CK100" s="87">
        <f t="shared" si="240"/>
        <v>0</v>
      </c>
      <c r="CL100" s="77">
        <f t="shared" si="241"/>
        <v>3.8449999999999998E-2</v>
      </c>
      <c r="CM100" s="87">
        <f>IF($A100&gt;CK$58, 0, SUM(CK100:CK$117)*CL100*CK$133/CK$134+SUM(CK101:CK$117)*(CK$134-CK$133)/CK$134*CL100)</f>
        <v>2883750</v>
      </c>
      <c r="CN100" s="87"/>
      <c r="CO100" s="162">
        <f t="shared" si="242"/>
        <v>0</v>
      </c>
      <c r="CP100" s="87">
        <f t="shared" si="243"/>
        <v>2883750</v>
      </c>
      <c r="CQ100" s="32"/>
      <c r="CR100" s="87">
        <f t="shared" si="244"/>
        <v>0</v>
      </c>
      <c r="CS100" s="77" t="str">
        <f t="shared" si="245"/>
        <v xml:space="preserve">   </v>
      </c>
      <c r="CT100" s="87">
        <f>IF($A100&gt;CR$58, 0, SUM(CR100:CR$117)*CS100*CR$133/CR$134+SUM(CR101:CR$117)*(CR$134-CR$133)/CR$134*CS100)</f>
        <v>0</v>
      </c>
      <c r="CZ100" s="165">
        <f t="shared" si="246"/>
        <v>0</v>
      </c>
      <c r="DA100" s="165">
        <f t="shared" si="247"/>
        <v>0</v>
      </c>
      <c r="DB100" s="87"/>
      <c r="DC100" s="87">
        <f t="shared" si="258"/>
        <v>0</v>
      </c>
      <c r="DD100" s="77" t="str">
        <f t="shared" si="248"/>
        <v>---</v>
      </c>
      <c r="DE100" s="87">
        <f t="shared" si="249"/>
        <v>0</v>
      </c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W100" s="165">
        <f t="shared" si="259"/>
        <v>0</v>
      </c>
      <c r="DX100" s="165">
        <f t="shared" si="260"/>
        <v>6352150</v>
      </c>
      <c r="DY100" s="87"/>
      <c r="DZ100" s="53">
        <f t="shared" si="250"/>
        <v>2043</v>
      </c>
      <c r="EA100" s="35">
        <f t="shared" si="251"/>
        <v>0</v>
      </c>
      <c r="EB100" s="35">
        <f t="shared" si="252"/>
        <v>6352150</v>
      </c>
      <c r="EC100" s="35"/>
      <c r="ED100" s="49">
        <f t="shared" si="261"/>
        <v>20</v>
      </c>
    </row>
    <row r="101" spans="1:134" s="33" customFormat="1" outlineLevel="1">
      <c r="A101" s="7">
        <f t="shared" si="253"/>
        <v>2044</v>
      </c>
      <c r="B101" s="151">
        <f>Assumptions!B28</f>
        <v>5.3800000000000001E-2</v>
      </c>
      <c r="C101" s="151">
        <f>Assumptions!C28</f>
        <v>5.3800000000000001E-2</v>
      </c>
      <c r="D101" s="151">
        <f>Assumptions!D28</f>
        <v>3.5000000000000003E-2</v>
      </c>
      <c r="E101" s="151">
        <f>Assumptions!E28</f>
        <v>5.2999999999999999E-2</v>
      </c>
      <c r="F101" s="8"/>
      <c r="G101" s="8"/>
      <c r="H101" s="8"/>
      <c r="I101" s="8"/>
      <c r="J101" s="8"/>
      <c r="K101" s="8"/>
      <c r="L101" s="8"/>
      <c r="M101" s="87">
        <f t="shared" si="212"/>
        <v>0</v>
      </c>
      <c r="N101" s="77" t="str">
        <f t="shared" si="213"/>
        <v xml:space="preserve">   </v>
      </c>
      <c r="O101" s="87">
        <f>IF($A101&gt;M$58, 0, SUM(M101:M$117)*N101*M$133/M$134+SUM(M102:M$117)*(M$134-M$133)/M$134*N101)</f>
        <v>0</v>
      </c>
      <c r="P101" s="35"/>
      <c r="Q101" s="87">
        <f t="shared" si="214"/>
        <v>0</v>
      </c>
      <c r="R101" s="77" t="str">
        <f t="shared" si="215"/>
        <v xml:space="preserve">   </v>
      </c>
      <c r="S101" s="87">
        <f>IF($A101&gt;Q$58, 0, SUM(Q101:Q$117)*R101*Q$133/Q$134+SUM(Q102:Q$117)*(Q$134-Q$133)/Q$134*R101)</f>
        <v>0</v>
      </c>
      <c r="T101" s="35"/>
      <c r="U101" s="35">
        <f t="shared" si="216"/>
        <v>0</v>
      </c>
      <c r="V101" s="35">
        <f t="shared" si="217"/>
        <v>0</v>
      </c>
      <c r="W101" s="35"/>
      <c r="X101" s="87">
        <f t="shared" si="218"/>
        <v>0</v>
      </c>
      <c r="Y101" s="77" t="str">
        <f t="shared" si="219"/>
        <v xml:space="preserve">   </v>
      </c>
      <c r="Z101" s="87">
        <f>IF($A101&gt;X$58, 0, SUM(X101:X$117)*Y101*X$133/X$134+SUM(X102:X$117)*(X$134-X$133)/X$134*Y101)</f>
        <v>0</v>
      </c>
      <c r="AA101" s="87"/>
      <c r="AB101" s="87">
        <f t="shared" si="220"/>
        <v>0</v>
      </c>
      <c r="AC101" s="77" t="str">
        <f t="shared" si="221"/>
        <v xml:space="preserve">   </v>
      </c>
      <c r="AD101" s="87">
        <f>IF($A101&gt;AB$58, 0, SUM(AB101:AB$117)*AC101*AB$133/AB$134+SUM(AB102:AB$117)*(AB$134-AB$133)/AB$134*AC101)</f>
        <v>0</v>
      </c>
      <c r="AE101" s="35"/>
      <c r="AF101" s="87">
        <f t="shared" si="222"/>
        <v>0</v>
      </c>
      <c r="AG101" s="77" t="str">
        <f t="shared" si="223"/>
        <v xml:space="preserve">   </v>
      </c>
      <c r="AH101" s="87">
        <f>IF($A101&gt;AF$58, 0, SUM(AF101:AF$117)*AG101*AF$133/AF$134+SUM(AF102:AF$117)*(AF$134-AF$133)/AF$134*AG101)</f>
        <v>0</v>
      </c>
      <c r="AI101" s="35"/>
      <c r="AJ101" s="87"/>
      <c r="AK101" s="77"/>
      <c r="AL101" s="87"/>
      <c r="AM101" s="35"/>
      <c r="AN101" s="87">
        <f t="shared" si="224"/>
        <v>0</v>
      </c>
      <c r="AO101" s="77" t="str">
        <f>IF($A101&gt;AN$128, "   ", IF(AN$124="VRDB", $D101+$E101+#REF!, IF(AN$124="1M LIBOR", $B101*AN$125+AN$126, IF(AN$124="3M LIBOR", $C101*AN$125+AN$126, IF(AN$124="R-FLOATs", $D101+#REF!+#REF!, 0)))))</f>
        <v xml:space="preserve">   </v>
      </c>
      <c r="AP101" s="87">
        <f>IF($A101&gt;AN$128, 0, SUM(AN101:AN$117)*AO101*AN$133/AN$134+SUM(AN102:AN$117)*AO101*AN$133/AN$134)</f>
        <v>0</v>
      </c>
      <c r="AQ101" s="35"/>
      <c r="AR101" s="87">
        <f t="shared" si="225"/>
        <v>0</v>
      </c>
      <c r="AS101" s="77" t="str">
        <f>IF($A101&gt;AR$128, "   ", IF(AR$124="VRDB", $D101+$E101+#REF!, IF(AR$124="1M LIBOR", $B101*AR$125+AR$126, IF(AR$124="3M LIBOR", $C101*AR$125+AR$126, IF(AR$124="R-FLOATs", $D101+#REF!+#REF!, 0)))))</f>
        <v xml:space="preserve">   </v>
      </c>
      <c r="AT101" s="87">
        <f>IF($A101&gt;AR$128, 0, SUM(AR101:AR$117)*AS101*AR$133/AR$134+SUM(AR102:AR$117)*AS101*AR$133/AR$134)</f>
        <v>0</v>
      </c>
      <c r="AV101" s="35">
        <f t="shared" si="226"/>
        <v>0</v>
      </c>
      <c r="AW101" s="35">
        <f t="shared" si="227"/>
        <v>0</v>
      </c>
      <c r="AX101" s="35"/>
      <c r="AY101" s="87">
        <f t="shared" si="228"/>
        <v>0</v>
      </c>
      <c r="AZ101" s="77" t="str">
        <f t="shared" si="229"/>
        <v xml:space="preserve">   </v>
      </c>
      <c r="BA101" s="87">
        <f>IF($A101&gt;AY$58, 0, SUM(AY101:AY$117)*AZ101*AY$133/AY$134+SUM(AY102:AY$117)*(AY$134-AY$133)/AY$134*AZ101)</f>
        <v>0</v>
      </c>
      <c r="BB101" s="61"/>
      <c r="BC101" s="87">
        <f t="shared" si="230"/>
        <v>0</v>
      </c>
      <c r="BD101" s="77">
        <f t="shared" si="231"/>
        <v>3.9621000000000003E-2</v>
      </c>
      <c r="BE101" s="87">
        <f>IF($A101&gt;BC$128, 0, SUM(BC101:BC$117)*BD101*BC$133/BC$134+SUM(BC102:BC$117)*BD101*BC$133/BC$134)</f>
        <v>990525</v>
      </c>
      <c r="BF101" s="61"/>
      <c r="BG101" s="87">
        <f t="shared" si="232"/>
        <v>0</v>
      </c>
      <c r="BH101" s="77">
        <f t="shared" si="233"/>
        <v>3.9646000000000001E-2</v>
      </c>
      <c r="BI101" s="87">
        <f>IF($A101&gt;BG$128, 0, SUM(BG101:BG$117)*BH101*BG$133/BG$134+SUM(BG102:BG$117)*BH101*BG$133/BG$134)</f>
        <v>2477875</v>
      </c>
      <c r="BJ101" s="61"/>
      <c r="BK101" s="35">
        <f t="shared" si="254"/>
        <v>0</v>
      </c>
      <c r="BL101" s="35">
        <f t="shared" si="255"/>
        <v>3468400</v>
      </c>
      <c r="BM101" s="8"/>
      <c r="BN101" s="87">
        <f t="shared" si="234"/>
        <v>0</v>
      </c>
      <c r="BO101" s="77" t="str">
        <f t="shared" si="235"/>
        <v xml:space="preserve">   </v>
      </c>
      <c r="BP101" s="87">
        <f>IF($A101&gt;BN$58, 0, SUM(BN101:BN$117)*BO101*BN$133/BN$134+SUM(BN102:BN$117)*(BN$134-BN$133)/BN$134*BO101)</f>
        <v>0</v>
      </c>
      <c r="BQ101" s="77"/>
      <c r="BR101" s="87"/>
      <c r="BS101" s="77"/>
      <c r="BT101" s="87"/>
      <c r="BU101" s="87"/>
      <c r="BV101" s="35">
        <f t="shared" si="256"/>
        <v>0</v>
      </c>
      <c r="BW101" s="35">
        <f t="shared" si="257"/>
        <v>0</v>
      </c>
      <c r="BX101" s="87"/>
      <c r="BY101" s="87">
        <f t="shared" si="236"/>
        <v>0</v>
      </c>
      <c r="BZ101" s="77" t="str">
        <f t="shared" si="237"/>
        <v xml:space="preserve">   </v>
      </c>
      <c r="CA101" s="87">
        <f>IF($A101&gt;BY$58, 0, SUM(BY101:BY$117)*BZ101*BY$133/BY$134+SUM(BY102:BY$117)*(BY$134-BY$133)/BY$134*BZ101)</f>
        <v>0</v>
      </c>
      <c r="CB101" s="87"/>
      <c r="CC101" s="87">
        <f t="shared" si="238"/>
        <v>0</v>
      </c>
      <c r="CD101" s="77" t="str">
        <f t="shared" si="239"/>
        <v xml:space="preserve">   </v>
      </c>
      <c r="CE101" s="87">
        <f>IF($A101&gt;CC$58, 0, SUM(CC101:CC$117)*CD101*CC$133/CC$134+SUM(CC102:CC$117)*(CC$134-CC$133)/CC$134*CD101)</f>
        <v>0</v>
      </c>
      <c r="CF101" s="87"/>
      <c r="CG101" s="87"/>
      <c r="CH101" s="77"/>
      <c r="CI101" s="87"/>
      <c r="CJ101" s="87"/>
      <c r="CK101" s="87">
        <f t="shared" si="240"/>
        <v>0</v>
      </c>
      <c r="CL101" s="77">
        <f t="shared" si="241"/>
        <v>3.8449999999999998E-2</v>
      </c>
      <c r="CM101" s="87">
        <f>IF($A101&gt;CK$58, 0, SUM(CK101:CK$117)*CL101*CK$133/CK$134+SUM(CK102:CK$117)*(CK$134-CK$133)/CK$134*CL101)</f>
        <v>2883750</v>
      </c>
      <c r="CN101" s="87"/>
      <c r="CO101" s="162">
        <f t="shared" si="242"/>
        <v>0</v>
      </c>
      <c r="CP101" s="87">
        <f t="shared" si="243"/>
        <v>2883750</v>
      </c>
      <c r="CQ101" s="32"/>
      <c r="CR101" s="87">
        <f t="shared" si="244"/>
        <v>0</v>
      </c>
      <c r="CS101" s="77" t="str">
        <f t="shared" si="245"/>
        <v xml:space="preserve">   </v>
      </c>
      <c r="CT101" s="87">
        <f>IF($A101&gt;CR$58, 0, SUM(CR101:CR$117)*CS101*CR$133/CR$134+SUM(CR102:CR$117)*(CR$134-CR$133)/CR$134*CS101)</f>
        <v>0</v>
      </c>
      <c r="CZ101" s="165">
        <f t="shared" si="246"/>
        <v>0</v>
      </c>
      <c r="DA101" s="165">
        <f t="shared" si="247"/>
        <v>0</v>
      </c>
      <c r="DB101" s="87"/>
      <c r="DC101" s="87">
        <f t="shared" si="258"/>
        <v>0</v>
      </c>
      <c r="DD101" s="77" t="str">
        <f t="shared" si="248"/>
        <v>---</v>
      </c>
      <c r="DE101" s="87">
        <f t="shared" si="249"/>
        <v>0</v>
      </c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W101" s="165">
        <f t="shared" si="259"/>
        <v>0</v>
      </c>
      <c r="DX101" s="165">
        <f t="shared" si="260"/>
        <v>6352150</v>
      </c>
      <c r="DY101" s="87"/>
      <c r="DZ101" s="53">
        <f t="shared" si="250"/>
        <v>2044</v>
      </c>
      <c r="EA101" s="35">
        <f t="shared" si="251"/>
        <v>0</v>
      </c>
      <c r="EB101" s="35">
        <f t="shared" si="252"/>
        <v>6352150</v>
      </c>
      <c r="EC101" s="35"/>
      <c r="ED101" s="49">
        <f t="shared" si="261"/>
        <v>21</v>
      </c>
    </row>
    <row r="102" spans="1:134" s="33" customFormat="1" outlineLevel="1">
      <c r="A102" s="7">
        <f t="shared" si="253"/>
        <v>2045</v>
      </c>
      <c r="B102" s="151">
        <f>Assumptions!B29</f>
        <v>5.3800000000000001E-2</v>
      </c>
      <c r="C102" s="151">
        <f>Assumptions!C29</f>
        <v>5.3800000000000001E-2</v>
      </c>
      <c r="D102" s="151">
        <f>Assumptions!D29</f>
        <v>3.5000000000000003E-2</v>
      </c>
      <c r="E102" s="151">
        <f>Assumptions!E29</f>
        <v>5.2999999999999999E-2</v>
      </c>
      <c r="F102" s="8"/>
      <c r="G102" s="8"/>
      <c r="H102" s="8"/>
      <c r="I102" s="8"/>
      <c r="J102" s="8"/>
      <c r="K102" s="8"/>
      <c r="L102" s="8"/>
      <c r="M102" s="87">
        <f t="shared" si="212"/>
        <v>0</v>
      </c>
      <c r="N102" s="77" t="str">
        <f t="shared" si="213"/>
        <v xml:space="preserve">   </v>
      </c>
      <c r="O102" s="87">
        <f>IF($A102&gt;M$58, 0, SUM(M102:M$117)*N102*M$133/M$134+SUM(M103:M$117)*(M$134-M$133)/M$134*N102)</f>
        <v>0</v>
      </c>
      <c r="P102" s="35"/>
      <c r="Q102" s="87">
        <f t="shared" si="214"/>
        <v>0</v>
      </c>
      <c r="R102" s="77" t="str">
        <f t="shared" si="215"/>
        <v xml:space="preserve">   </v>
      </c>
      <c r="S102" s="87">
        <f>IF($A102&gt;Q$58, 0, SUM(Q102:Q$117)*R102*Q$133/Q$134+SUM(Q103:Q$117)*(Q$134-Q$133)/Q$134*R102)</f>
        <v>0</v>
      </c>
      <c r="T102" s="35"/>
      <c r="U102" s="35">
        <f t="shared" si="216"/>
        <v>0</v>
      </c>
      <c r="V102" s="35">
        <f t="shared" si="217"/>
        <v>0</v>
      </c>
      <c r="W102" s="35"/>
      <c r="X102" s="87">
        <f t="shared" si="218"/>
        <v>0</v>
      </c>
      <c r="Y102" s="77" t="str">
        <f t="shared" si="219"/>
        <v xml:space="preserve">   </v>
      </c>
      <c r="Z102" s="87">
        <f>IF($A102&gt;X$58, 0, SUM(X102:X$117)*Y102*X$133/X$134+SUM(X103:X$117)*(X$134-X$133)/X$134*Y102)</f>
        <v>0</v>
      </c>
      <c r="AA102" s="87"/>
      <c r="AB102" s="87">
        <f t="shared" si="220"/>
        <v>0</v>
      </c>
      <c r="AC102" s="77" t="str">
        <f t="shared" si="221"/>
        <v xml:space="preserve">   </v>
      </c>
      <c r="AD102" s="87">
        <f>IF($A102&gt;AB$58, 0, SUM(AB102:AB$117)*AC102*AB$133/AB$134+SUM(AB103:AB$117)*(AB$134-AB$133)/AB$134*AC102)</f>
        <v>0</v>
      </c>
      <c r="AE102" s="35"/>
      <c r="AF102" s="87">
        <f t="shared" si="222"/>
        <v>0</v>
      </c>
      <c r="AG102" s="77" t="str">
        <f t="shared" si="223"/>
        <v xml:space="preserve">   </v>
      </c>
      <c r="AH102" s="87">
        <f>IF($A102&gt;AF$58, 0, SUM(AF102:AF$117)*AG102*AF$133/AF$134+SUM(AF103:AF$117)*(AF$134-AF$133)/AF$134*AG102)</f>
        <v>0</v>
      </c>
      <c r="AI102" s="35"/>
      <c r="AJ102" s="87"/>
      <c r="AK102" s="77"/>
      <c r="AL102" s="87"/>
      <c r="AM102" s="35"/>
      <c r="AN102" s="87">
        <f t="shared" si="224"/>
        <v>0</v>
      </c>
      <c r="AO102" s="77" t="str">
        <f>IF($A102&gt;AN$128, "   ", IF(AN$124="VRDB", $D102+$E102+#REF!, IF(AN$124="1M LIBOR", $B102*AN$125+AN$126, IF(AN$124="3M LIBOR", $C102*AN$125+AN$126, IF(AN$124="R-FLOATs", $D102+#REF!+#REF!, 0)))))</f>
        <v xml:space="preserve">   </v>
      </c>
      <c r="AP102" s="87">
        <f>IF($A102&gt;AN$128, 0, SUM(AN102:AN$117)*AO102*AN$133/AN$134+SUM(AN103:AN$117)*AO102*AN$133/AN$134)</f>
        <v>0</v>
      </c>
      <c r="AQ102" s="35"/>
      <c r="AR102" s="87">
        <f t="shared" si="225"/>
        <v>0</v>
      </c>
      <c r="AS102" s="77" t="str">
        <f>IF($A102&gt;AR$128, "   ", IF(AR$124="VRDB", $D102+$E102+#REF!, IF(AR$124="1M LIBOR", $B102*AR$125+AR$126, IF(AR$124="3M LIBOR", $C102*AR$125+AR$126, IF(AR$124="R-FLOATs", $D102+#REF!+#REF!, 0)))))</f>
        <v xml:space="preserve">   </v>
      </c>
      <c r="AT102" s="87">
        <f>IF($A102&gt;AR$128, 0, SUM(AR102:AR$117)*AS102*AR$133/AR$134+SUM(AR103:AR$117)*AS102*AR$133/AR$134)</f>
        <v>0</v>
      </c>
      <c r="AV102" s="35">
        <f t="shared" si="226"/>
        <v>0</v>
      </c>
      <c r="AW102" s="35">
        <f t="shared" si="227"/>
        <v>0</v>
      </c>
      <c r="AX102" s="35"/>
      <c r="AY102" s="87">
        <f t="shared" si="228"/>
        <v>0</v>
      </c>
      <c r="AZ102" s="77" t="str">
        <f t="shared" si="229"/>
        <v xml:space="preserve">   </v>
      </c>
      <c r="BA102" s="87">
        <f>IF($A102&gt;AY$58, 0, SUM(AY102:AY$117)*AZ102*AY$133/AY$134+SUM(AY103:AY$117)*(AY$134-AY$133)/AY$134*AZ102)</f>
        <v>0</v>
      </c>
      <c r="BB102" s="61"/>
      <c r="BC102" s="87">
        <f t="shared" si="230"/>
        <v>0</v>
      </c>
      <c r="BD102" s="77">
        <f t="shared" si="231"/>
        <v>3.9621000000000003E-2</v>
      </c>
      <c r="BE102" s="87">
        <f>IF($A102&gt;BC$128, 0, SUM(BC102:BC$117)*BD102*BC$133/BC$134+SUM(BC103:BC$117)*BD102*BC$133/BC$134)</f>
        <v>990525</v>
      </c>
      <c r="BF102" s="61"/>
      <c r="BG102" s="87">
        <f t="shared" si="232"/>
        <v>0</v>
      </c>
      <c r="BH102" s="77">
        <f t="shared" si="233"/>
        <v>3.9646000000000001E-2</v>
      </c>
      <c r="BI102" s="87">
        <f>IF($A102&gt;BG$128, 0, SUM(BG102:BG$117)*BH102*BG$133/BG$134+SUM(BG103:BG$117)*BH102*BG$133/BG$134)</f>
        <v>2477875</v>
      </c>
      <c r="BJ102" s="61"/>
      <c r="BK102" s="35">
        <f t="shared" si="254"/>
        <v>0</v>
      </c>
      <c r="BL102" s="35">
        <f t="shared" si="255"/>
        <v>3468400</v>
      </c>
      <c r="BM102" s="8"/>
      <c r="BN102" s="87">
        <f t="shared" si="234"/>
        <v>0</v>
      </c>
      <c r="BO102" s="77" t="str">
        <f t="shared" si="235"/>
        <v xml:space="preserve">   </v>
      </c>
      <c r="BP102" s="87">
        <f>IF($A102&gt;BN$58, 0, SUM(BN102:BN$117)*BO102*BN$133/BN$134+SUM(BN103:BN$117)*(BN$134-BN$133)/BN$134*BO102)</f>
        <v>0</v>
      </c>
      <c r="BQ102" s="77"/>
      <c r="BR102" s="87"/>
      <c r="BS102" s="77"/>
      <c r="BT102" s="87"/>
      <c r="BU102" s="87"/>
      <c r="BV102" s="35">
        <f t="shared" si="256"/>
        <v>0</v>
      </c>
      <c r="BW102" s="35">
        <f t="shared" si="257"/>
        <v>0</v>
      </c>
      <c r="BX102" s="87"/>
      <c r="BY102" s="87">
        <f t="shared" si="236"/>
        <v>0</v>
      </c>
      <c r="BZ102" s="77" t="str">
        <f t="shared" si="237"/>
        <v xml:space="preserve">   </v>
      </c>
      <c r="CA102" s="87">
        <f>IF($A102&gt;BY$58, 0, SUM(BY102:BY$117)*BZ102*BY$133/BY$134+SUM(BY103:BY$117)*(BY$134-BY$133)/BY$134*BZ102)</f>
        <v>0</v>
      </c>
      <c r="CB102" s="87"/>
      <c r="CC102" s="87">
        <f t="shared" si="238"/>
        <v>0</v>
      </c>
      <c r="CD102" s="77" t="str">
        <f t="shared" si="239"/>
        <v xml:space="preserve">   </v>
      </c>
      <c r="CE102" s="87">
        <f>IF($A102&gt;CC$58, 0, SUM(CC102:CC$117)*CD102*CC$133/CC$134+SUM(CC103:CC$117)*(CC$134-CC$133)/CC$134*CD102)</f>
        <v>0</v>
      </c>
      <c r="CF102" s="87"/>
      <c r="CG102" s="87"/>
      <c r="CH102" s="77"/>
      <c r="CI102" s="87"/>
      <c r="CJ102" s="87"/>
      <c r="CK102" s="87">
        <f t="shared" si="240"/>
        <v>0</v>
      </c>
      <c r="CL102" s="77">
        <f t="shared" si="241"/>
        <v>3.8449999999999998E-2</v>
      </c>
      <c r="CM102" s="87">
        <f>IF($A102&gt;CK$58, 0, SUM(CK102:CK$117)*CL102*CK$133/CK$134+SUM(CK103:CK$117)*(CK$134-CK$133)/CK$134*CL102)</f>
        <v>2883750</v>
      </c>
      <c r="CN102" s="87"/>
      <c r="CO102" s="162">
        <f t="shared" si="242"/>
        <v>0</v>
      </c>
      <c r="CP102" s="87">
        <f t="shared" si="243"/>
        <v>2883750</v>
      </c>
      <c r="CQ102" s="32"/>
      <c r="CR102" s="87">
        <f t="shared" si="244"/>
        <v>0</v>
      </c>
      <c r="CS102" s="77" t="str">
        <f t="shared" si="245"/>
        <v xml:space="preserve">   </v>
      </c>
      <c r="CT102" s="87">
        <f>IF($A102&gt;CR$58, 0, SUM(CR102:CR$117)*CS102*CR$133/CR$134+SUM(CR103:CR$117)*(CR$134-CR$133)/CR$134*CS102)</f>
        <v>0</v>
      </c>
      <c r="CZ102" s="165">
        <f t="shared" si="246"/>
        <v>0</v>
      </c>
      <c r="DA102" s="165">
        <f t="shared" si="247"/>
        <v>0</v>
      </c>
      <c r="DB102" s="87"/>
      <c r="DC102" s="87">
        <f t="shared" si="258"/>
        <v>0</v>
      </c>
      <c r="DD102" s="77" t="str">
        <f t="shared" si="248"/>
        <v>---</v>
      </c>
      <c r="DE102" s="87">
        <f t="shared" si="249"/>
        <v>0</v>
      </c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W102" s="165">
        <f t="shared" si="259"/>
        <v>0</v>
      </c>
      <c r="DX102" s="165">
        <f t="shared" si="260"/>
        <v>6352150</v>
      </c>
      <c r="DY102" s="87"/>
      <c r="DZ102" s="53">
        <f t="shared" si="250"/>
        <v>2045</v>
      </c>
      <c r="EA102" s="35">
        <f t="shared" si="251"/>
        <v>0</v>
      </c>
      <c r="EB102" s="35">
        <f t="shared" si="252"/>
        <v>6352150</v>
      </c>
      <c r="EC102" s="35"/>
      <c r="ED102" s="49">
        <f t="shared" si="261"/>
        <v>22</v>
      </c>
    </row>
    <row r="103" spans="1:134" s="33" customFormat="1" outlineLevel="1">
      <c r="A103" s="7">
        <f t="shared" si="253"/>
        <v>2046</v>
      </c>
      <c r="B103" s="151">
        <f>Assumptions!B30</f>
        <v>5.3800000000000001E-2</v>
      </c>
      <c r="C103" s="151">
        <f>Assumptions!C30</f>
        <v>5.3800000000000001E-2</v>
      </c>
      <c r="D103" s="151">
        <f>Assumptions!D30</f>
        <v>3.5000000000000003E-2</v>
      </c>
      <c r="E103" s="151">
        <f>Assumptions!E30</f>
        <v>5.2999999999999999E-2</v>
      </c>
      <c r="F103" s="8"/>
      <c r="G103" s="8"/>
      <c r="H103" s="8"/>
      <c r="I103" s="8"/>
      <c r="J103" s="8"/>
      <c r="K103" s="8"/>
      <c r="L103" s="8"/>
      <c r="M103" s="87">
        <f t="shared" si="212"/>
        <v>0</v>
      </c>
      <c r="N103" s="77" t="str">
        <f t="shared" si="213"/>
        <v xml:space="preserve">   </v>
      </c>
      <c r="O103" s="87">
        <f>IF($A103&gt;M$58, 0, SUM(M103:M$117)*N103*M$133/M$134+SUM(M104:M$117)*(M$134-M$133)/M$134*N103)</f>
        <v>0</v>
      </c>
      <c r="P103" s="35"/>
      <c r="Q103" s="87">
        <f t="shared" si="214"/>
        <v>0</v>
      </c>
      <c r="R103" s="77" t="str">
        <f t="shared" si="215"/>
        <v xml:space="preserve">   </v>
      </c>
      <c r="S103" s="87">
        <f>IF($A103&gt;Q$58, 0, SUM(Q103:Q$117)*R103*Q$133/Q$134+SUM(Q104:Q$117)*(Q$134-Q$133)/Q$134*R103)</f>
        <v>0</v>
      </c>
      <c r="T103" s="35"/>
      <c r="U103" s="35">
        <f t="shared" si="216"/>
        <v>0</v>
      </c>
      <c r="V103" s="35">
        <f t="shared" si="217"/>
        <v>0</v>
      </c>
      <c r="W103" s="35"/>
      <c r="X103" s="87">
        <f t="shared" si="218"/>
        <v>0</v>
      </c>
      <c r="Y103" s="77" t="str">
        <f t="shared" si="219"/>
        <v xml:space="preserve">   </v>
      </c>
      <c r="Z103" s="87">
        <f>IF($A103&gt;X$58, 0, SUM(X103:X$117)*Y103*X$133/X$134+SUM(X104:X$117)*(X$134-X$133)/X$134*Y103)</f>
        <v>0</v>
      </c>
      <c r="AA103" s="87"/>
      <c r="AB103" s="87">
        <f t="shared" si="220"/>
        <v>0</v>
      </c>
      <c r="AC103" s="77" t="str">
        <f t="shared" si="221"/>
        <v xml:space="preserve">   </v>
      </c>
      <c r="AD103" s="87">
        <f>IF($A103&gt;AB$58, 0, SUM(AB103:AB$117)*AC103*AB$133/AB$134+SUM(AB104:AB$117)*(AB$134-AB$133)/AB$134*AC103)</f>
        <v>0</v>
      </c>
      <c r="AE103" s="35"/>
      <c r="AF103" s="87">
        <f t="shared" si="222"/>
        <v>0</v>
      </c>
      <c r="AG103" s="77" t="str">
        <f t="shared" si="223"/>
        <v xml:space="preserve">   </v>
      </c>
      <c r="AH103" s="87">
        <f>IF($A103&gt;AF$58, 0, SUM(AF103:AF$117)*AG103*AF$133/AF$134+SUM(AF104:AF$117)*(AF$134-AF$133)/AF$134*AG103)</f>
        <v>0</v>
      </c>
      <c r="AI103" s="35"/>
      <c r="AJ103" s="87"/>
      <c r="AK103" s="77"/>
      <c r="AL103" s="87"/>
      <c r="AM103" s="35"/>
      <c r="AN103" s="87">
        <f t="shared" si="224"/>
        <v>0</v>
      </c>
      <c r="AO103" s="77" t="str">
        <f>IF($A103&gt;AN$128, "   ", IF(AN$124="VRDB", $D103+$E103+#REF!, IF(AN$124="1M LIBOR", $B103*AN$125+AN$126, IF(AN$124="3M LIBOR", $C103*AN$125+AN$126, IF(AN$124="R-FLOATs", $D103+#REF!+#REF!, 0)))))</f>
        <v xml:space="preserve">   </v>
      </c>
      <c r="AP103" s="87">
        <f>IF($A103&gt;AN$128, 0, SUM(AN103:AN$117)*AO103*AN$133/AN$134+SUM(AN104:AN$117)*AO103*AN$133/AN$134)</f>
        <v>0</v>
      </c>
      <c r="AQ103" s="35"/>
      <c r="AR103" s="87">
        <f t="shared" si="225"/>
        <v>0</v>
      </c>
      <c r="AS103" s="77" t="str">
        <f>IF($A103&gt;AR$128, "   ", IF(AR$124="VRDB", $D103+$E103+#REF!, IF(AR$124="1M LIBOR", $B103*AR$125+AR$126, IF(AR$124="3M LIBOR", $C103*AR$125+AR$126, IF(AR$124="R-FLOATs", $D103+#REF!+#REF!, 0)))))</f>
        <v xml:space="preserve">   </v>
      </c>
      <c r="AT103" s="87">
        <f>IF($A103&gt;AR$128, 0, SUM(AR103:AR$117)*AS103*AR$133/AR$134+SUM(AR104:AR$117)*AS103*AR$133/AR$134)</f>
        <v>0</v>
      </c>
      <c r="AV103" s="35">
        <f t="shared" si="226"/>
        <v>0</v>
      </c>
      <c r="AW103" s="35">
        <f t="shared" si="227"/>
        <v>0</v>
      </c>
      <c r="AX103" s="35"/>
      <c r="AY103" s="87">
        <f t="shared" si="228"/>
        <v>0</v>
      </c>
      <c r="AZ103" s="77" t="str">
        <f t="shared" si="229"/>
        <v xml:space="preserve">   </v>
      </c>
      <c r="BA103" s="87">
        <f>IF($A103&gt;AY$58, 0, SUM(AY103:AY$117)*AZ103*AY$133/AY$134+SUM(AY104:AY$117)*(AY$134-AY$133)/AY$134*AZ103)</f>
        <v>0</v>
      </c>
      <c r="BB103" s="61"/>
      <c r="BC103" s="87">
        <f t="shared" si="230"/>
        <v>0</v>
      </c>
      <c r="BD103" s="77">
        <f t="shared" si="231"/>
        <v>3.9621000000000003E-2</v>
      </c>
      <c r="BE103" s="87">
        <f>IF($A103&gt;BC$128, 0, SUM(BC103:BC$117)*BD103*BC$133/BC$134+SUM(BC104:BC$117)*BD103*BC$133/BC$134)</f>
        <v>990525</v>
      </c>
      <c r="BF103" s="61"/>
      <c r="BG103" s="87">
        <f t="shared" si="232"/>
        <v>0</v>
      </c>
      <c r="BH103" s="77">
        <f t="shared" si="233"/>
        <v>3.9646000000000001E-2</v>
      </c>
      <c r="BI103" s="87">
        <f>IF($A103&gt;BG$128, 0, SUM(BG103:BG$117)*BH103*BG$133/BG$134+SUM(BG104:BG$117)*BH103*BG$133/BG$134)</f>
        <v>2477875</v>
      </c>
      <c r="BJ103" s="61"/>
      <c r="BK103" s="35">
        <f t="shared" si="254"/>
        <v>0</v>
      </c>
      <c r="BL103" s="35">
        <f t="shared" si="255"/>
        <v>3468400</v>
      </c>
      <c r="BM103" s="8"/>
      <c r="BN103" s="87">
        <f t="shared" si="234"/>
        <v>0</v>
      </c>
      <c r="BO103" s="77" t="str">
        <f t="shared" si="235"/>
        <v xml:space="preserve">   </v>
      </c>
      <c r="BP103" s="87">
        <f>IF($A103&gt;BN$58, 0, SUM(BN103:BN$117)*BO103*BN$133/BN$134+SUM(BN104:BN$117)*(BN$134-BN$133)/BN$134*BO103)</f>
        <v>0</v>
      </c>
      <c r="BQ103" s="77"/>
      <c r="BR103" s="87"/>
      <c r="BS103" s="77"/>
      <c r="BT103" s="87"/>
      <c r="BU103" s="87"/>
      <c r="BV103" s="35">
        <f t="shared" si="256"/>
        <v>0</v>
      </c>
      <c r="BW103" s="35">
        <f t="shared" si="257"/>
        <v>0</v>
      </c>
      <c r="BX103" s="87"/>
      <c r="BY103" s="87">
        <f t="shared" si="236"/>
        <v>0</v>
      </c>
      <c r="BZ103" s="77" t="str">
        <f t="shared" si="237"/>
        <v xml:space="preserve">   </v>
      </c>
      <c r="CA103" s="87">
        <f>IF($A103&gt;BY$58, 0, SUM(BY103:BY$117)*BZ103*BY$133/BY$134+SUM(BY104:BY$117)*(BY$134-BY$133)/BY$134*BZ103)</f>
        <v>0</v>
      </c>
      <c r="CB103" s="87"/>
      <c r="CC103" s="87">
        <f t="shared" si="238"/>
        <v>0</v>
      </c>
      <c r="CD103" s="77" t="str">
        <f t="shared" si="239"/>
        <v xml:space="preserve">   </v>
      </c>
      <c r="CE103" s="87">
        <f>IF($A103&gt;CC$58, 0, SUM(CC103:CC$117)*CD103*CC$133/CC$134+SUM(CC104:CC$117)*(CC$134-CC$133)/CC$134*CD103)</f>
        <v>0</v>
      </c>
      <c r="CF103" s="87"/>
      <c r="CG103" s="87"/>
      <c r="CH103" s="77"/>
      <c r="CI103" s="87"/>
      <c r="CJ103" s="87"/>
      <c r="CK103" s="87">
        <f t="shared" si="240"/>
        <v>0</v>
      </c>
      <c r="CL103" s="77">
        <f t="shared" si="241"/>
        <v>3.8449999999999998E-2</v>
      </c>
      <c r="CM103" s="87">
        <f>IF($A103&gt;CK$58, 0, SUM(CK103:CK$117)*CL103*CK$133/CK$134+SUM(CK104:CK$117)*(CK$134-CK$133)/CK$134*CL103)</f>
        <v>2883750</v>
      </c>
      <c r="CN103" s="87"/>
      <c r="CO103" s="162">
        <f t="shared" si="242"/>
        <v>0</v>
      </c>
      <c r="CP103" s="87">
        <f t="shared" si="243"/>
        <v>2883750</v>
      </c>
      <c r="CQ103" s="32"/>
      <c r="CR103" s="87">
        <f t="shared" si="244"/>
        <v>0</v>
      </c>
      <c r="CS103" s="77" t="str">
        <f t="shared" si="245"/>
        <v xml:space="preserve">   </v>
      </c>
      <c r="CT103" s="87">
        <f>IF($A103&gt;CR$58, 0, SUM(CR103:CR$117)*CS103*CR$133/CR$134+SUM(CR104:CR$117)*(CR$134-CR$133)/CR$134*CS103)</f>
        <v>0</v>
      </c>
      <c r="CZ103" s="165">
        <f t="shared" si="246"/>
        <v>0</v>
      </c>
      <c r="DA103" s="165">
        <f t="shared" si="247"/>
        <v>0</v>
      </c>
      <c r="DB103" s="87"/>
      <c r="DC103" s="87">
        <f t="shared" si="258"/>
        <v>0</v>
      </c>
      <c r="DD103" s="77" t="str">
        <f t="shared" si="248"/>
        <v>---</v>
      </c>
      <c r="DE103" s="87">
        <f t="shared" si="249"/>
        <v>0</v>
      </c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W103" s="165">
        <f t="shared" si="259"/>
        <v>0</v>
      </c>
      <c r="DX103" s="165">
        <f t="shared" si="260"/>
        <v>6352150</v>
      </c>
      <c r="DY103" s="87"/>
      <c r="DZ103" s="53">
        <f t="shared" si="250"/>
        <v>2046</v>
      </c>
      <c r="EA103" s="35">
        <f t="shared" si="251"/>
        <v>0</v>
      </c>
      <c r="EB103" s="35">
        <f t="shared" si="252"/>
        <v>6352150</v>
      </c>
      <c r="EC103" s="35"/>
      <c r="ED103" s="49">
        <f t="shared" si="261"/>
        <v>23</v>
      </c>
    </row>
    <row r="104" spans="1:134" s="33" customFormat="1" outlineLevel="1">
      <c r="A104" s="7">
        <f t="shared" si="253"/>
        <v>2047</v>
      </c>
      <c r="B104" s="151">
        <f>Assumptions!B31</f>
        <v>5.3800000000000001E-2</v>
      </c>
      <c r="C104" s="151">
        <f>Assumptions!C31</f>
        <v>5.3800000000000001E-2</v>
      </c>
      <c r="D104" s="151">
        <f>Assumptions!D31</f>
        <v>3.5000000000000003E-2</v>
      </c>
      <c r="E104" s="151">
        <f>Assumptions!E31</f>
        <v>5.2999999999999999E-2</v>
      </c>
      <c r="F104" s="8"/>
      <c r="G104" s="8"/>
      <c r="H104" s="8"/>
      <c r="I104" s="8"/>
      <c r="J104" s="8"/>
      <c r="K104" s="8"/>
      <c r="L104" s="8"/>
      <c r="M104" s="87">
        <f t="shared" si="212"/>
        <v>0</v>
      </c>
      <c r="N104" s="77" t="str">
        <f t="shared" si="213"/>
        <v xml:space="preserve">   </v>
      </c>
      <c r="O104" s="87">
        <f>IF($A104&gt;M$58, 0, SUM(M104:M$117)*N104*M$133/M$134+SUM(M105:M$117)*(M$134-M$133)/M$134*N104)</f>
        <v>0</v>
      </c>
      <c r="P104" s="35"/>
      <c r="Q104" s="87">
        <f t="shared" si="214"/>
        <v>0</v>
      </c>
      <c r="R104" s="77" t="str">
        <f t="shared" si="215"/>
        <v xml:space="preserve">   </v>
      </c>
      <c r="S104" s="87">
        <f>IF($A104&gt;Q$58, 0, SUM(Q104:Q$117)*R104*Q$133/Q$134+SUM(Q105:Q$117)*(Q$134-Q$133)/Q$134*R104)</f>
        <v>0</v>
      </c>
      <c r="T104" s="35"/>
      <c r="U104" s="35">
        <f t="shared" si="216"/>
        <v>0</v>
      </c>
      <c r="V104" s="35">
        <f t="shared" si="217"/>
        <v>0</v>
      </c>
      <c r="W104" s="35"/>
      <c r="X104" s="87">
        <f t="shared" si="218"/>
        <v>0</v>
      </c>
      <c r="Y104" s="77" t="str">
        <f t="shared" si="219"/>
        <v xml:space="preserve">   </v>
      </c>
      <c r="Z104" s="87">
        <f>IF($A104&gt;X$58, 0, SUM(X104:X$117)*Y104*X$133/X$134+SUM(X105:X$117)*(X$134-X$133)/X$134*Y104)</f>
        <v>0</v>
      </c>
      <c r="AA104" s="87"/>
      <c r="AB104" s="87">
        <f t="shared" si="220"/>
        <v>0</v>
      </c>
      <c r="AC104" s="77" t="str">
        <f t="shared" si="221"/>
        <v xml:space="preserve">   </v>
      </c>
      <c r="AD104" s="87">
        <f>IF($A104&gt;AB$58, 0, SUM(AB104:AB$117)*AC104*AB$133/AB$134+SUM(AB105:AB$117)*(AB$134-AB$133)/AB$134*AC104)</f>
        <v>0</v>
      </c>
      <c r="AE104" s="35"/>
      <c r="AF104" s="87">
        <f t="shared" si="222"/>
        <v>0</v>
      </c>
      <c r="AG104" s="77" t="str">
        <f t="shared" si="223"/>
        <v xml:space="preserve">   </v>
      </c>
      <c r="AH104" s="87">
        <f>IF($A104&gt;AF$58, 0, SUM(AF104:AF$117)*AG104*AF$133/AF$134+SUM(AF105:AF$117)*(AF$134-AF$133)/AF$134*AG104)</f>
        <v>0</v>
      </c>
      <c r="AI104" s="35"/>
      <c r="AJ104" s="87"/>
      <c r="AK104" s="77"/>
      <c r="AL104" s="87"/>
      <c r="AM104" s="35"/>
      <c r="AN104" s="87">
        <f t="shared" si="224"/>
        <v>0</v>
      </c>
      <c r="AO104" s="77" t="str">
        <f>IF($A104&gt;AN$128, "   ", IF(AN$124="VRDB", $D104+$E104+#REF!, IF(AN$124="1M LIBOR", $B104*AN$125+AN$126, IF(AN$124="3M LIBOR", $C104*AN$125+AN$126, IF(AN$124="R-FLOATs", $D104+#REF!+#REF!, 0)))))</f>
        <v xml:space="preserve">   </v>
      </c>
      <c r="AP104" s="87">
        <f>IF($A104&gt;AN$128, 0, SUM(AN104:AN$117)*AO104*AN$133/AN$134+SUM(AN105:AN$117)*AO104*AN$133/AN$134)</f>
        <v>0</v>
      </c>
      <c r="AQ104" s="35"/>
      <c r="AR104" s="87">
        <f t="shared" si="225"/>
        <v>0</v>
      </c>
      <c r="AS104" s="77" t="str">
        <f>IF($A104&gt;AR$128, "   ", IF(AR$124="VRDB", $D104+$E104+#REF!, IF(AR$124="1M LIBOR", $B104*AR$125+AR$126, IF(AR$124="3M LIBOR", $C104*AR$125+AR$126, IF(AR$124="R-FLOATs", $D104+#REF!+#REF!, 0)))))</f>
        <v xml:space="preserve">   </v>
      </c>
      <c r="AT104" s="87">
        <f>IF($A104&gt;AR$128, 0, SUM(AR104:AR$117)*AS104*AR$133/AR$134+SUM(AR105:AR$117)*AS104*AR$133/AR$134)</f>
        <v>0</v>
      </c>
      <c r="AV104" s="35">
        <f t="shared" si="226"/>
        <v>0</v>
      </c>
      <c r="AW104" s="35">
        <f t="shared" si="227"/>
        <v>0</v>
      </c>
      <c r="AX104" s="35"/>
      <c r="AY104" s="87">
        <f t="shared" si="228"/>
        <v>0</v>
      </c>
      <c r="AZ104" s="77" t="str">
        <f t="shared" si="229"/>
        <v xml:space="preserve">   </v>
      </c>
      <c r="BA104" s="87">
        <f>IF($A104&gt;AY$58, 0, SUM(AY104:AY$117)*AZ104*AY$133/AY$134+SUM(AY105:AY$117)*(AY$134-AY$133)/AY$134*AZ104)</f>
        <v>0</v>
      </c>
      <c r="BB104" s="61"/>
      <c r="BC104" s="87">
        <f t="shared" si="230"/>
        <v>0</v>
      </c>
      <c r="BD104" s="77">
        <f t="shared" si="231"/>
        <v>3.9621000000000003E-2</v>
      </c>
      <c r="BE104" s="87">
        <f>IF($A104&gt;BC$128, 0, SUM(BC104:BC$117)*BD104*BC$133/BC$134+SUM(BC105:BC$117)*BD104*BC$133/BC$134)</f>
        <v>990525</v>
      </c>
      <c r="BF104" s="61"/>
      <c r="BG104" s="87">
        <f t="shared" si="232"/>
        <v>0</v>
      </c>
      <c r="BH104" s="77">
        <f t="shared" si="233"/>
        <v>3.9646000000000001E-2</v>
      </c>
      <c r="BI104" s="87">
        <f>IF($A104&gt;BG$128, 0, SUM(BG104:BG$117)*BH104*BG$133/BG$134+SUM(BG105:BG$117)*BH104*BG$133/BG$134)</f>
        <v>2477875</v>
      </c>
      <c r="BJ104" s="61"/>
      <c r="BK104" s="35">
        <f t="shared" si="254"/>
        <v>0</v>
      </c>
      <c r="BL104" s="35">
        <f t="shared" si="255"/>
        <v>3468400</v>
      </c>
      <c r="BM104" s="8"/>
      <c r="BN104" s="87">
        <f t="shared" si="234"/>
        <v>0</v>
      </c>
      <c r="BO104" s="77" t="str">
        <f t="shared" si="235"/>
        <v xml:space="preserve">   </v>
      </c>
      <c r="BP104" s="87">
        <f>IF($A104&gt;BN$58, 0, SUM(BN104:BN$117)*BO104*BN$133/BN$134+SUM(BN105:BN$117)*(BN$134-BN$133)/BN$134*BO104)</f>
        <v>0</v>
      </c>
      <c r="BQ104" s="77"/>
      <c r="BR104" s="87"/>
      <c r="BS104" s="77"/>
      <c r="BT104" s="87"/>
      <c r="BU104" s="87"/>
      <c r="BV104" s="35">
        <f t="shared" si="256"/>
        <v>0</v>
      </c>
      <c r="BW104" s="35">
        <f t="shared" si="257"/>
        <v>0</v>
      </c>
      <c r="BX104" s="87"/>
      <c r="BY104" s="87">
        <f t="shared" si="236"/>
        <v>0</v>
      </c>
      <c r="BZ104" s="77" t="str">
        <f t="shared" si="237"/>
        <v xml:space="preserve">   </v>
      </c>
      <c r="CA104" s="87">
        <f>IF($A104&gt;BY$58, 0, SUM(BY104:BY$117)*BZ104*BY$133/BY$134+SUM(BY105:BY$117)*(BY$134-BY$133)/BY$134*BZ104)</f>
        <v>0</v>
      </c>
      <c r="CB104" s="87"/>
      <c r="CC104" s="87">
        <f t="shared" si="238"/>
        <v>0</v>
      </c>
      <c r="CD104" s="77" t="str">
        <f t="shared" si="239"/>
        <v xml:space="preserve">   </v>
      </c>
      <c r="CE104" s="87">
        <f>IF($A104&gt;CC$58, 0, SUM(CC104:CC$117)*CD104*CC$133/CC$134+SUM(CC105:CC$117)*(CC$134-CC$133)/CC$134*CD104)</f>
        <v>0</v>
      </c>
      <c r="CF104" s="87"/>
      <c r="CG104" s="87"/>
      <c r="CH104" s="77"/>
      <c r="CI104" s="87"/>
      <c r="CJ104" s="87"/>
      <c r="CK104" s="87">
        <f t="shared" si="240"/>
        <v>0</v>
      </c>
      <c r="CL104" s="77">
        <f t="shared" si="241"/>
        <v>3.8449999999999998E-2</v>
      </c>
      <c r="CM104" s="87">
        <f>IF($A104&gt;CK$58, 0, SUM(CK104:CK$117)*CL104*CK$133/CK$134+SUM(CK105:CK$117)*(CK$134-CK$133)/CK$134*CL104)</f>
        <v>2883750</v>
      </c>
      <c r="CN104" s="87"/>
      <c r="CO104" s="162">
        <f t="shared" si="242"/>
        <v>0</v>
      </c>
      <c r="CP104" s="87">
        <f t="shared" si="243"/>
        <v>2883750</v>
      </c>
      <c r="CQ104" s="32"/>
      <c r="CR104" s="87">
        <f t="shared" si="244"/>
        <v>0</v>
      </c>
      <c r="CS104" s="77" t="str">
        <f t="shared" si="245"/>
        <v xml:space="preserve">   </v>
      </c>
      <c r="CT104" s="87">
        <f>IF($A104&gt;CR$58, 0, SUM(CR104:CR$117)*CS104*CR$133/CR$134+SUM(CR105:CR$117)*(CR$134-CR$133)/CR$134*CS104)</f>
        <v>0</v>
      </c>
      <c r="CZ104" s="165">
        <f t="shared" si="246"/>
        <v>0</v>
      </c>
      <c r="DA104" s="165">
        <f t="shared" si="247"/>
        <v>0</v>
      </c>
      <c r="DB104" s="87"/>
      <c r="DC104" s="87">
        <f t="shared" si="258"/>
        <v>0</v>
      </c>
      <c r="DD104" s="77" t="str">
        <f t="shared" si="248"/>
        <v>---</v>
      </c>
      <c r="DE104" s="87">
        <f t="shared" si="249"/>
        <v>0</v>
      </c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W104" s="165">
        <f t="shared" si="259"/>
        <v>0</v>
      </c>
      <c r="DX104" s="165">
        <f t="shared" si="260"/>
        <v>6352150</v>
      </c>
      <c r="DY104" s="87"/>
      <c r="DZ104" s="53">
        <f t="shared" si="250"/>
        <v>2047</v>
      </c>
      <c r="EA104" s="35">
        <f t="shared" si="251"/>
        <v>0</v>
      </c>
      <c r="EB104" s="35">
        <f t="shared" si="252"/>
        <v>6352150</v>
      </c>
      <c r="EC104" s="35"/>
      <c r="ED104" s="49">
        <f t="shared" si="261"/>
        <v>24</v>
      </c>
    </row>
    <row r="105" spans="1:134" s="33" customFormat="1" outlineLevel="1">
      <c r="A105" s="7">
        <f t="shared" si="253"/>
        <v>2048</v>
      </c>
      <c r="B105" s="151">
        <f>Assumptions!B32</f>
        <v>5.3800000000000001E-2</v>
      </c>
      <c r="C105" s="151">
        <f>Assumptions!C32</f>
        <v>5.3800000000000001E-2</v>
      </c>
      <c r="D105" s="151">
        <f>Assumptions!D32</f>
        <v>3.5000000000000003E-2</v>
      </c>
      <c r="E105" s="151">
        <f>Assumptions!E32</f>
        <v>5.2999999999999999E-2</v>
      </c>
      <c r="F105" s="8"/>
      <c r="G105" s="8"/>
      <c r="H105" s="8"/>
      <c r="I105" s="8"/>
      <c r="J105" s="8"/>
      <c r="K105" s="8"/>
      <c r="L105" s="8"/>
      <c r="M105" s="87">
        <f t="shared" si="212"/>
        <v>0</v>
      </c>
      <c r="N105" s="77" t="str">
        <f t="shared" si="213"/>
        <v xml:space="preserve">   </v>
      </c>
      <c r="O105" s="87">
        <f>IF($A105&gt;M$58, 0, SUM(M105:M$117)*N105*M$133/M$134+SUM(M106:M$117)*(M$134-M$133)/M$134*N105)</f>
        <v>0</v>
      </c>
      <c r="P105" s="35"/>
      <c r="Q105" s="87">
        <f t="shared" si="214"/>
        <v>0</v>
      </c>
      <c r="R105" s="77" t="str">
        <f t="shared" si="215"/>
        <v xml:space="preserve">   </v>
      </c>
      <c r="S105" s="87">
        <f>IF($A105&gt;Q$58, 0, SUM(Q105:Q$117)*R105*Q$133/Q$134+SUM(Q106:Q$117)*(Q$134-Q$133)/Q$134*R105)</f>
        <v>0</v>
      </c>
      <c r="T105" s="35"/>
      <c r="U105" s="35">
        <f t="shared" si="216"/>
        <v>0</v>
      </c>
      <c r="V105" s="35">
        <f t="shared" si="217"/>
        <v>0</v>
      </c>
      <c r="W105" s="35"/>
      <c r="X105" s="87">
        <f t="shared" si="218"/>
        <v>0</v>
      </c>
      <c r="Y105" s="77" t="str">
        <f t="shared" si="219"/>
        <v xml:space="preserve">   </v>
      </c>
      <c r="Z105" s="87">
        <f>IF($A105&gt;X$58, 0, SUM(X105:X$117)*Y105*X$133/X$134+SUM(X106:X$117)*(X$134-X$133)/X$134*Y105)</f>
        <v>0</v>
      </c>
      <c r="AA105" s="87"/>
      <c r="AB105" s="87">
        <f t="shared" si="220"/>
        <v>0</v>
      </c>
      <c r="AC105" s="77" t="str">
        <f t="shared" si="221"/>
        <v xml:space="preserve">   </v>
      </c>
      <c r="AD105" s="87">
        <f>IF($A105&gt;AB$58, 0, SUM(AB105:AB$117)*AC105*AB$133/AB$134+SUM(AB106:AB$117)*(AB$134-AB$133)/AB$134*AC105)</f>
        <v>0</v>
      </c>
      <c r="AE105" s="35"/>
      <c r="AF105" s="87">
        <f t="shared" si="222"/>
        <v>0</v>
      </c>
      <c r="AG105" s="77" t="str">
        <f t="shared" si="223"/>
        <v xml:space="preserve">   </v>
      </c>
      <c r="AH105" s="87">
        <f>IF($A105&gt;AF$58, 0, SUM(AF105:AF$117)*AG105*AF$133/AF$134+SUM(AF106:AF$117)*(AF$134-AF$133)/AF$134*AG105)</f>
        <v>0</v>
      </c>
      <c r="AI105" s="35"/>
      <c r="AJ105" s="87"/>
      <c r="AK105" s="77"/>
      <c r="AL105" s="87"/>
      <c r="AM105" s="35"/>
      <c r="AN105" s="87">
        <f t="shared" si="224"/>
        <v>0</v>
      </c>
      <c r="AO105" s="77" t="str">
        <f>IF($A105&gt;AN$128, "   ", IF(AN$124="VRDB", $D105+$E105+#REF!, IF(AN$124="1M LIBOR", $B105*AN$125+AN$126, IF(AN$124="3M LIBOR", $C105*AN$125+AN$126, IF(AN$124="R-FLOATs", $D105+#REF!+#REF!, 0)))))</f>
        <v xml:space="preserve">   </v>
      </c>
      <c r="AP105" s="87">
        <f>IF($A105&gt;AN$128, 0, SUM(AN105:AN$117)*AO105*AN$133/AN$134+SUM(AN106:AN$117)*AO105*AN$133/AN$134)</f>
        <v>0</v>
      </c>
      <c r="AQ105" s="35"/>
      <c r="AR105" s="87">
        <f t="shared" si="225"/>
        <v>0</v>
      </c>
      <c r="AS105" s="77" t="str">
        <f>IF($A105&gt;AR$128, "   ", IF(AR$124="VRDB", $D105+$E105+#REF!, IF(AR$124="1M LIBOR", $B105*AR$125+AR$126, IF(AR$124="3M LIBOR", $C105*AR$125+AR$126, IF(AR$124="R-FLOATs", $D105+#REF!+#REF!, 0)))))</f>
        <v xml:space="preserve">   </v>
      </c>
      <c r="AT105" s="87">
        <f>IF($A105&gt;AR$128, 0, SUM(AR105:AR$117)*AS105*AR$133/AR$134+SUM(AR106:AR$117)*AS105*AR$133/AR$134)</f>
        <v>0</v>
      </c>
      <c r="AV105" s="35">
        <f t="shared" si="226"/>
        <v>0</v>
      </c>
      <c r="AW105" s="35">
        <f t="shared" si="227"/>
        <v>0</v>
      </c>
      <c r="AX105" s="35"/>
      <c r="AY105" s="87">
        <f t="shared" si="228"/>
        <v>0</v>
      </c>
      <c r="AZ105" s="77" t="str">
        <f t="shared" si="229"/>
        <v xml:space="preserve">   </v>
      </c>
      <c r="BA105" s="87">
        <f>IF($A105&gt;AY$58, 0, SUM(AY105:AY$117)*AZ105*AY$133/AY$134+SUM(AY106:AY$117)*(AY$134-AY$133)/AY$134*AZ105)</f>
        <v>0</v>
      </c>
      <c r="BB105" s="61"/>
      <c r="BC105" s="87">
        <f t="shared" si="230"/>
        <v>30000000</v>
      </c>
      <c r="BD105" s="77">
        <f t="shared" si="231"/>
        <v>3.9621000000000003E-2</v>
      </c>
      <c r="BE105" s="87">
        <f>IF($A105&gt;BC$128, 0, SUM(BC105:BC$117)*BD105*BC$133/BC$134+SUM(BC106:BC$117)*BD105*BC$133/BC$134)</f>
        <v>495262.5</v>
      </c>
      <c r="BF105" s="61"/>
      <c r="BG105" s="87">
        <f t="shared" si="232"/>
        <v>75000000</v>
      </c>
      <c r="BH105" s="77">
        <f t="shared" si="233"/>
        <v>3.9646000000000001E-2</v>
      </c>
      <c r="BI105" s="87">
        <f>IF($A105&gt;BG$128, 0, SUM(BG105:BG$117)*BH105*BG$133/BG$134+SUM(BG106:BG$117)*BH105*BG$133/BG$134)</f>
        <v>1238937.5</v>
      </c>
      <c r="BJ105" s="61"/>
      <c r="BK105" s="35">
        <f t="shared" si="254"/>
        <v>105000000</v>
      </c>
      <c r="BL105" s="35">
        <f t="shared" si="255"/>
        <v>1734200</v>
      </c>
      <c r="BM105" s="8"/>
      <c r="BN105" s="87">
        <f t="shared" si="234"/>
        <v>0</v>
      </c>
      <c r="BO105" s="77" t="str">
        <f t="shared" si="235"/>
        <v xml:space="preserve">   </v>
      </c>
      <c r="BP105" s="87">
        <f>IF($A105&gt;BN$58, 0, SUM(BN105:BN$117)*BO105*BN$133/BN$134+SUM(BN106:BN$117)*(BN$134-BN$133)/BN$134*BO105)</f>
        <v>0</v>
      </c>
      <c r="BQ105" s="77"/>
      <c r="BR105" s="87"/>
      <c r="BS105" s="77"/>
      <c r="BT105" s="87"/>
      <c r="BU105" s="87"/>
      <c r="BV105" s="35">
        <f t="shared" si="256"/>
        <v>0</v>
      </c>
      <c r="BW105" s="35">
        <f t="shared" si="257"/>
        <v>0</v>
      </c>
      <c r="BX105" s="87"/>
      <c r="BY105" s="87">
        <f t="shared" si="236"/>
        <v>0</v>
      </c>
      <c r="BZ105" s="77" t="str">
        <f t="shared" si="237"/>
        <v xml:space="preserve">   </v>
      </c>
      <c r="CA105" s="87">
        <f>IF($A105&gt;BY$58, 0, SUM(BY105:BY$117)*BZ105*BY$133/BY$134+SUM(BY106:BY$117)*(BY$134-BY$133)/BY$134*BZ105)</f>
        <v>0</v>
      </c>
      <c r="CB105" s="87"/>
      <c r="CC105" s="87">
        <f t="shared" si="238"/>
        <v>0</v>
      </c>
      <c r="CD105" s="77" t="str">
        <f t="shared" si="239"/>
        <v xml:space="preserve">   </v>
      </c>
      <c r="CE105" s="87">
        <f>IF($A105&gt;CC$58, 0, SUM(CC105:CC$117)*CD105*CC$133/CC$134+SUM(CC106:CC$117)*(CC$134-CC$133)/CC$134*CD105)</f>
        <v>0</v>
      </c>
      <c r="CF105" s="87"/>
      <c r="CG105" s="87"/>
      <c r="CH105" s="77"/>
      <c r="CI105" s="87"/>
      <c r="CJ105" s="87"/>
      <c r="CK105" s="87">
        <f t="shared" si="240"/>
        <v>0</v>
      </c>
      <c r="CL105" s="77">
        <f t="shared" si="241"/>
        <v>3.8449999999999998E-2</v>
      </c>
      <c r="CM105" s="87">
        <f>IF($A105&gt;CK$58, 0, SUM(CK105:CK$117)*CL105*CK$133/CK$134+SUM(CK106:CK$117)*(CK$134-CK$133)/CK$134*CL105)</f>
        <v>2883750</v>
      </c>
      <c r="CN105" s="87"/>
      <c r="CO105" s="162">
        <f t="shared" si="242"/>
        <v>0</v>
      </c>
      <c r="CP105" s="87">
        <f t="shared" si="243"/>
        <v>2883750</v>
      </c>
      <c r="CQ105" s="32"/>
      <c r="CR105" s="87">
        <f t="shared" si="244"/>
        <v>0</v>
      </c>
      <c r="CS105" s="77" t="str">
        <f t="shared" si="245"/>
        <v xml:space="preserve">   </v>
      </c>
      <c r="CT105" s="87">
        <f>IF($A105&gt;CR$58, 0, SUM(CR105:CR$117)*CS105*CR$133/CR$134+SUM(CR106:CR$117)*(CR$134-CR$133)/CR$134*CS105)</f>
        <v>0</v>
      </c>
      <c r="CZ105" s="165">
        <f t="shared" si="246"/>
        <v>0</v>
      </c>
      <c r="DA105" s="165">
        <f t="shared" si="247"/>
        <v>0</v>
      </c>
      <c r="DB105" s="87"/>
      <c r="DC105" s="87">
        <f t="shared" si="258"/>
        <v>0</v>
      </c>
      <c r="DD105" s="77" t="str">
        <f t="shared" si="248"/>
        <v>---</v>
      </c>
      <c r="DE105" s="87">
        <f t="shared" si="249"/>
        <v>0</v>
      </c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W105" s="165">
        <f t="shared" si="259"/>
        <v>105000000</v>
      </c>
      <c r="DX105" s="165">
        <f t="shared" si="260"/>
        <v>4617950</v>
      </c>
      <c r="DY105" s="87"/>
      <c r="DZ105" s="53">
        <f t="shared" si="250"/>
        <v>2048</v>
      </c>
      <c r="EA105" s="35">
        <f t="shared" si="251"/>
        <v>105000000</v>
      </c>
      <c r="EB105" s="35">
        <f t="shared" si="252"/>
        <v>4617950</v>
      </c>
      <c r="EC105" s="35"/>
      <c r="ED105" s="49">
        <f t="shared" si="261"/>
        <v>25</v>
      </c>
    </row>
    <row r="106" spans="1:134" s="33" customFormat="1" outlineLevel="1">
      <c r="A106" s="7">
        <f t="shared" si="253"/>
        <v>2049</v>
      </c>
      <c r="B106" s="151">
        <f>Assumptions!B33</f>
        <v>5.3800000000000001E-2</v>
      </c>
      <c r="C106" s="151">
        <f>Assumptions!C33</f>
        <v>5.3800000000000001E-2</v>
      </c>
      <c r="D106" s="151">
        <f>Assumptions!D33</f>
        <v>3.5000000000000003E-2</v>
      </c>
      <c r="E106" s="151">
        <f>Assumptions!E33</f>
        <v>5.2999999999999999E-2</v>
      </c>
      <c r="F106" s="8"/>
      <c r="G106" s="8"/>
      <c r="H106" s="8"/>
      <c r="I106" s="8"/>
      <c r="J106" s="8"/>
      <c r="K106" s="8"/>
      <c r="L106" s="8"/>
      <c r="M106" s="87">
        <f t="shared" si="212"/>
        <v>0</v>
      </c>
      <c r="N106" s="77" t="str">
        <f t="shared" si="213"/>
        <v xml:space="preserve">   </v>
      </c>
      <c r="O106" s="87">
        <f>IF($A106&gt;M$58, 0, SUM(M106:M$117)*N106*M$133/M$134+SUM(M107:M$117)*(M$134-M$133)/M$134*N106)</f>
        <v>0</v>
      </c>
      <c r="P106" s="35"/>
      <c r="Q106" s="87">
        <f t="shared" si="214"/>
        <v>0</v>
      </c>
      <c r="R106" s="77" t="str">
        <f t="shared" si="215"/>
        <v xml:space="preserve">   </v>
      </c>
      <c r="S106" s="87">
        <f>IF($A106&gt;Q$58, 0, SUM(Q106:Q$117)*R106*Q$133/Q$134+SUM(Q107:Q$117)*(Q$134-Q$133)/Q$134*R106)</f>
        <v>0</v>
      </c>
      <c r="T106" s="35"/>
      <c r="U106" s="35">
        <f t="shared" si="216"/>
        <v>0</v>
      </c>
      <c r="V106" s="35">
        <f t="shared" si="217"/>
        <v>0</v>
      </c>
      <c r="W106" s="35"/>
      <c r="X106" s="87">
        <f t="shared" si="218"/>
        <v>0</v>
      </c>
      <c r="Y106" s="77" t="str">
        <f t="shared" si="219"/>
        <v xml:space="preserve">   </v>
      </c>
      <c r="Z106" s="87">
        <f>IF($A106&gt;X$58, 0, SUM(X106:X$117)*Y106*X$133/X$134+SUM(X107:X$117)*(X$134-X$133)/X$134*Y106)</f>
        <v>0</v>
      </c>
      <c r="AA106" s="87"/>
      <c r="AB106" s="87">
        <f t="shared" si="220"/>
        <v>0</v>
      </c>
      <c r="AC106" s="77" t="str">
        <f t="shared" si="221"/>
        <v xml:space="preserve">   </v>
      </c>
      <c r="AD106" s="87">
        <f>IF($A106&gt;AB$58, 0, SUM(AB106:AB$117)*AC106*AB$133/AB$134+SUM(AB107:AB$117)*(AB$134-AB$133)/AB$134*AC106)</f>
        <v>0</v>
      </c>
      <c r="AE106" s="35"/>
      <c r="AF106" s="87">
        <f t="shared" si="222"/>
        <v>0</v>
      </c>
      <c r="AG106" s="77" t="str">
        <f t="shared" si="223"/>
        <v xml:space="preserve">   </v>
      </c>
      <c r="AH106" s="87">
        <f>IF($A106&gt;AF$58, 0, SUM(AF106:AF$117)*AG106*AF$133/AF$134+SUM(AF107:AF$117)*(AF$134-AF$133)/AF$134*AG106)</f>
        <v>0</v>
      </c>
      <c r="AI106" s="35"/>
      <c r="AJ106" s="87"/>
      <c r="AK106" s="77"/>
      <c r="AL106" s="87"/>
      <c r="AM106" s="35"/>
      <c r="AN106" s="87">
        <f t="shared" si="224"/>
        <v>0</v>
      </c>
      <c r="AO106" s="77" t="str">
        <f>IF($A106&gt;AN$128, "   ", IF(AN$124="VRDB", $D106+$E106+#REF!, IF(AN$124="1M LIBOR", $B106*AN$125+AN$126, IF(AN$124="3M LIBOR", $C106*AN$125+AN$126, IF(AN$124="R-FLOATs", $D106+#REF!+#REF!, 0)))))</f>
        <v xml:space="preserve">   </v>
      </c>
      <c r="AP106" s="87">
        <f>IF($A106&gt;AN$128, 0, SUM(AN106:AN$117)*AO106*AN$133/AN$134+SUM(AN107:AN$117)*AO106*AN$133/AN$134)</f>
        <v>0</v>
      </c>
      <c r="AQ106" s="35"/>
      <c r="AR106" s="87">
        <f t="shared" si="225"/>
        <v>0</v>
      </c>
      <c r="AS106" s="77" t="str">
        <f>IF($A106&gt;AR$128, "   ", IF(AR$124="VRDB", $D106+$E106+#REF!, IF(AR$124="1M LIBOR", $B106*AR$125+AR$126, IF(AR$124="3M LIBOR", $C106*AR$125+AR$126, IF(AR$124="R-FLOATs", $D106+#REF!+#REF!, 0)))))</f>
        <v xml:space="preserve">   </v>
      </c>
      <c r="AT106" s="87">
        <f>IF($A106&gt;AR$128, 0, SUM(AR106:AR$117)*AS106*AR$133/AR$134+SUM(AR107:AR$117)*AS106*AR$133/AR$134)</f>
        <v>0</v>
      </c>
      <c r="AV106" s="35">
        <f t="shared" si="226"/>
        <v>0</v>
      </c>
      <c r="AW106" s="35">
        <f t="shared" si="227"/>
        <v>0</v>
      </c>
      <c r="AX106" s="35"/>
      <c r="AY106" s="87">
        <f t="shared" si="228"/>
        <v>0</v>
      </c>
      <c r="AZ106" s="77" t="str">
        <f t="shared" si="229"/>
        <v xml:space="preserve">   </v>
      </c>
      <c r="BA106" s="87">
        <f>IF($A106&gt;AY$58, 0, SUM(AY106:AY$117)*AZ106*AY$133/AY$134+SUM(AY107:AY$117)*(AY$134-AY$133)/AY$134*AZ106)</f>
        <v>0</v>
      </c>
      <c r="BB106" s="61"/>
      <c r="BC106" s="87">
        <f t="shared" si="230"/>
        <v>0</v>
      </c>
      <c r="BD106" s="77" t="str">
        <f t="shared" si="231"/>
        <v xml:space="preserve">   </v>
      </c>
      <c r="BE106" s="87">
        <f>IF($A106&gt;BC$128, 0, SUM(BC106:BC$117)*BD106*BC$133/BC$134+SUM(BC107:BC$117)*BD106*BC$133/BC$134)</f>
        <v>0</v>
      </c>
      <c r="BF106" s="61"/>
      <c r="BG106" s="87">
        <f t="shared" si="232"/>
        <v>0</v>
      </c>
      <c r="BH106" s="77" t="str">
        <f t="shared" si="233"/>
        <v xml:space="preserve">   </v>
      </c>
      <c r="BI106" s="87">
        <f>IF($A106&gt;BG$128, 0, SUM(BG106:BG$117)*BH106*BG$133/BG$134+SUM(BG107:BG$117)*BH106*BG$133/BG$134)</f>
        <v>0</v>
      </c>
      <c r="BJ106" s="61"/>
      <c r="BK106" s="35">
        <f t="shared" si="254"/>
        <v>0</v>
      </c>
      <c r="BL106" s="35">
        <f t="shared" si="255"/>
        <v>0</v>
      </c>
      <c r="BM106" s="8"/>
      <c r="BN106" s="87">
        <f t="shared" si="234"/>
        <v>0</v>
      </c>
      <c r="BO106" s="77" t="str">
        <f t="shared" si="235"/>
        <v xml:space="preserve">   </v>
      </c>
      <c r="BP106" s="87">
        <f>IF($A106&gt;BN$58, 0, SUM(BN106:BN$117)*BO106*BN$133/BN$134+SUM(BN107:BN$117)*(BN$134-BN$133)/BN$134*BO106)</f>
        <v>0</v>
      </c>
      <c r="BQ106" s="77"/>
      <c r="BR106" s="87"/>
      <c r="BS106" s="77"/>
      <c r="BT106" s="87"/>
      <c r="BU106" s="87"/>
      <c r="BV106" s="35">
        <f t="shared" si="256"/>
        <v>0</v>
      </c>
      <c r="BW106" s="35">
        <f t="shared" si="257"/>
        <v>0</v>
      </c>
      <c r="BX106" s="87"/>
      <c r="BY106" s="87">
        <f t="shared" si="236"/>
        <v>0</v>
      </c>
      <c r="BZ106" s="77" t="str">
        <f t="shared" si="237"/>
        <v xml:space="preserve">   </v>
      </c>
      <c r="CA106" s="87">
        <f>IF($A106&gt;BY$58, 0, SUM(BY106:BY$117)*BZ106*BY$133/BY$134+SUM(BY107:BY$117)*(BY$134-BY$133)/BY$134*BZ106)</f>
        <v>0</v>
      </c>
      <c r="CB106" s="87"/>
      <c r="CC106" s="87">
        <f t="shared" si="238"/>
        <v>0</v>
      </c>
      <c r="CD106" s="77" t="str">
        <f t="shared" si="239"/>
        <v xml:space="preserve">   </v>
      </c>
      <c r="CE106" s="87">
        <f>IF($A106&gt;CC$58, 0, SUM(CC106:CC$117)*CD106*CC$133/CC$134+SUM(CC107:CC$117)*(CC$134-CC$133)/CC$134*CD106)</f>
        <v>0</v>
      </c>
      <c r="CF106" s="87"/>
      <c r="CG106" s="87"/>
      <c r="CH106" s="77"/>
      <c r="CI106" s="87"/>
      <c r="CJ106" s="87"/>
      <c r="CK106" s="87">
        <f t="shared" si="240"/>
        <v>0</v>
      </c>
      <c r="CL106" s="77">
        <f t="shared" si="241"/>
        <v>3.8449999999999998E-2</v>
      </c>
      <c r="CM106" s="87">
        <f>IF($A106&gt;CK$58, 0, SUM(CK106:CK$117)*CL106*CK$133/CK$134+SUM(CK107:CK$117)*(CK$134-CK$133)/CK$134*CL106)</f>
        <v>2883750</v>
      </c>
      <c r="CN106" s="87"/>
      <c r="CO106" s="162">
        <f t="shared" si="242"/>
        <v>0</v>
      </c>
      <c r="CP106" s="87">
        <f t="shared" si="243"/>
        <v>2883750</v>
      </c>
      <c r="CQ106" s="32"/>
      <c r="CR106" s="87">
        <f t="shared" si="244"/>
        <v>0</v>
      </c>
      <c r="CS106" s="77" t="str">
        <f t="shared" si="245"/>
        <v xml:space="preserve">   </v>
      </c>
      <c r="CT106" s="87">
        <f>IF($A106&gt;CR$58, 0, SUM(CR106:CR$117)*CS106*CR$133/CR$134+SUM(CR107:CR$117)*(CR$134-CR$133)/CR$134*CS106)</f>
        <v>0</v>
      </c>
      <c r="CZ106" s="165">
        <f t="shared" si="246"/>
        <v>0</v>
      </c>
      <c r="DA106" s="165">
        <f t="shared" si="247"/>
        <v>0</v>
      </c>
      <c r="DB106" s="87"/>
      <c r="DC106" s="87">
        <f t="shared" si="258"/>
        <v>0</v>
      </c>
      <c r="DD106" s="77" t="str">
        <f t="shared" si="248"/>
        <v>---</v>
      </c>
      <c r="DE106" s="87">
        <f t="shared" si="249"/>
        <v>0</v>
      </c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W106" s="165">
        <f t="shared" si="259"/>
        <v>0</v>
      </c>
      <c r="DX106" s="165">
        <f t="shared" si="260"/>
        <v>2883750</v>
      </c>
      <c r="DY106" s="87"/>
      <c r="DZ106" s="53">
        <f t="shared" si="250"/>
        <v>2049</v>
      </c>
      <c r="EA106" s="35">
        <f t="shared" si="251"/>
        <v>0</v>
      </c>
      <c r="EB106" s="35">
        <f t="shared" si="252"/>
        <v>2883750</v>
      </c>
      <c r="EC106" s="35"/>
      <c r="ED106" s="49">
        <f t="shared" si="261"/>
        <v>26</v>
      </c>
    </row>
    <row r="107" spans="1:134" s="33" customFormat="1" outlineLevel="1">
      <c r="A107" s="7">
        <f t="shared" si="253"/>
        <v>2050</v>
      </c>
      <c r="B107" s="151">
        <f>Assumptions!B34</f>
        <v>5.3800000000000001E-2</v>
      </c>
      <c r="C107" s="151">
        <f>Assumptions!C34</f>
        <v>5.3800000000000001E-2</v>
      </c>
      <c r="D107" s="151">
        <f>Assumptions!D34</f>
        <v>3.5000000000000003E-2</v>
      </c>
      <c r="E107" s="151">
        <f>Assumptions!E34</f>
        <v>5.2999999999999999E-2</v>
      </c>
      <c r="F107" s="8"/>
      <c r="G107" s="8"/>
      <c r="H107" s="8"/>
      <c r="I107" s="8"/>
      <c r="J107" s="8"/>
      <c r="K107" s="8"/>
      <c r="L107" s="8"/>
      <c r="M107" s="87">
        <f t="shared" si="212"/>
        <v>0</v>
      </c>
      <c r="N107" s="77" t="str">
        <f t="shared" si="213"/>
        <v xml:space="preserve">   </v>
      </c>
      <c r="O107" s="87">
        <f>IF($A107&gt;M$58, 0, SUM(M107:M$117)*N107*M$133/M$134+SUM(M108:M$117)*(M$134-M$133)/M$134*N107)</f>
        <v>0</v>
      </c>
      <c r="P107" s="35"/>
      <c r="Q107" s="87">
        <f t="shared" si="214"/>
        <v>0</v>
      </c>
      <c r="R107" s="77" t="str">
        <f t="shared" si="215"/>
        <v xml:space="preserve">   </v>
      </c>
      <c r="S107" s="87">
        <f>IF($A107&gt;Q$58, 0, SUM(Q107:Q$117)*R107*Q$133/Q$134+SUM(Q108:Q$117)*(Q$134-Q$133)/Q$134*R107)</f>
        <v>0</v>
      </c>
      <c r="T107" s="35"/>
      <c r="U107" s="35">
        <f t="shared" si="216"/>
        <v>0</v>
      </c>
      <c r="V107" s="35">
        <f t="shared" si="217"/>
        <v>0</v>
      </c>
      <c r="W107" s="35"/>
      <c r="X107" s="87">
        <f t="shared" si="218"/>
        <v>0</v>
      </c>
      <c r="Y107" s="77" t="str">
        <f t="shared" si="219"/>
        <v xml:space="preserve">   </v>
      </c>
      <c r="Z107" s="87">
        <f>IF($A107&gt;X$58, 0, SUM(X107:X$117)*Y107*X$133/X$134+SUM(X108:X$117)*(X$134-X$133)/X$134*Y107)</f>
        <v>0</v>
      </c>
      <c r="AA107" s="87"/>
      <c r="AB107" s="87">
        <f t="shared" si="220"/>
        <v>0</v>
      </c>
      <c r="AC107" s="77" t="str">
        <f t="shared" si="221"/>
        <v xml:space="preserve">   </v>
      </c>
      <c r="AD107" s="87">
        <f>IF($A107&gt;AB$58, 0, SUM(AB107:AB$117)*AC107*AB$133/AB$134+SUM(AB108:AB$117)*(AB$134-AB$133)/AB$134*AC107)</f>
        <v>0</v>
      </c>
      <c r="AE107" s="35"/>
      <c r="AF107" s="87">
        <f t="shared" si="222"/>
        <v>0</v>
      </c>
      <c r="AG107" s="77" t="str">
        <f t="shared" si="223"/>
        <v xml:space="preserve">   </v>
      </c>
      <c r="AH107" s="87">
        <f>IF($A107&gt;AF$58, 0, SUM(AF107:AF$117)*AG107*AF$133/AF$134+SUM(AF108:AF$117)*(AF$134-AF$133)/AF$134*AG107)</f>
        <v>0</v>
      </c>
      <c r="AI107" s="35"/>
      <c r="AJ107" s="87"/>
      <c r="AK107" s="77"/>
      <c r="AL107" s="87"/>
      <c r="AM107" s="35"/>
      <c r="AN107" s="87">
        <f t="shared" si="224"/>
        <v>0</v>
      </c>
      <c r="AO107" s="77" t="str">
        <f>IF($A107&gt;AN$128, "   ", IF(AN$124="VRDB", $D107+$E107+#REF!, IF(AN$124="1M LIBOR", $B107*AN$125+AN$126, IF(AN$124="3M LIBOR", $C107*AN$125+AN$126, IF(AN$124="R-FLOATs", $D107+#REF!+#REF!, 0)))))</f>
        <v xml:space="preserve">   </v>
      </c>
      <c r="AP107" s="87">
        <f>IF($A107&gt;AN$128, 0, SUM(AN107:AN$117)*AO107*AN$133/AN$134+SUM(AN108:AN$117)*AO107*AN$133/AN$134)</f>
        <v>0</v>
      </c>
      <c r="AQ107" s="35"/>
      <c r="AR107" s="87">
        <f t="shared" si="225"/>
        <v>0</v>
      </c>
      <c r="AS107" s="77" t="str">
        <f>IF($A107&gt;AR$128, "   ", IF(AR$124="VRDB", $D107+$E107+#REF!, IF(AR$124="1M LIBOR", $B107*AR$125+AR$126, IF(AR$124="3M LIBOR", $C107*AR$125+AR$126, IF(AR$124="R-FLOATs", $D107+#REF!+#REF!, 0)))))</f>
        <v xml:space="preserve">   </v>
      </c>
      <c r="AT107" s="87">
        <f>IF($A107&gt;AR$128, 0, SUM(AR107:AR$117)*AS107*AR$133/AR$134+SUM(AR108:AR$117)*AS107*AR$133/AR$134)</f>
        <v>0</v>
      </c>
      <c r="AV107" s="35">
        <f t="shared" si="226"/>
        <v>0</v>
      </c>
      <c r="AW107" s="35">
        <f t="shared" si="227"/>
        <v>0</v>
      </c>
      <c r="AX107" s="35"/>
      <c r="AY107" s="87">
        <f t="shared" si="228"/>
        <v>0</v>
      </c>
      <c r="AZ107" s="77" t="str">
        <f t="shared" si="229"/>
        <v xml:space="preserve">   </v>
      </c>
      <c r="BA107" s="87">
        <f>IF($A107&gt;AY$58, 0, SUM(AY107:AY$117)*AZ107*AY$133/AY$134+SUM(AY108:AY$117)*(AY$134-AY$133)/AY$134*AZ107)</f>
        <v>0</v>
      </c>
      <c r="BB107" s="61"/>
      <c r="BC107" s="87">
        <f t="shared" si="230"/>
        <v>0</v>
      </c>
      <c r="BD107" s="77" t="str">
        <f t="shared" si="231"/>
        <v xml:space="preserve">   </v>
      </c>
      <c r="BE107" s="87">
        <f>IF($A107&gt;BC$128, 0, SUM(BC107:BC$117)*BD107*BC$133/BC$134+SUM(BC108:BC$117)*BD107*BC$133/BC$134)</f>
        <v>0</v>
      </c>
      <c r="BF107" s="61"/>
      <c r="BG107" s="87">
        <f t="shared" si="232"/>
        <v>0</v>
      </c>
      <c r="BH107" s="77" t="str">
        <f t="shared" si="233"/>
        <v xml:space="preserve">   </v>
      </c>
      <c r="BI107" s="87">
        <f>IF($A107&gt;BG$128, 0, SUM(BG107:BG$117)*BH107*BG$133/BG$134+SUM(BG108:BG$117)*BH107*BG$133/BG$134)</f>
        <v>0</v>
      </c>
      <c r="BJ107" s="61"/>
      <c r="BK107" s="35">
        <f t="shared" si="254"/>
        <v>0</v>
      </c>
      <c r="BL107" s="35">
        <f t="shared" si="255"/>
        <v>0</v>
      </c>
      <c r="BM107" s="8"/>
      <c r="BN107" s="87">
        <f t="shared" si="234"/>
        <v>0</v>
      </c>
      <c r="BO107" s="77" t="str">
        <f t="shared" si="235"/>
        <v xml:space="preserve">   </v>
      </c>
      <c r="BP107" s="87">
        <f>IF($A107&gt;BN$58, 0, SUM(BN107:BN$117)*BO107*BN$133/BN$134+SUM(BN108:BN$117)*(BN$134-BN$133)/BN$134*BO107)</f>
        <v>0</v>
      </c>
      <c r="BQ107" s="77"/>
      <c r="BR107" s="87"/>
      <c r="BS107" s="77"/>
      <c r="BT107" s="87"/>
      <c r="BU107" s="87"/>
      <c r="BV107" s="35">
        <f t="shared" si="256"/>
        <v>0</v>
      </c>
      <c r="BW107" s="35">
        <f t="shared" si="257"/>
        <v>0</v>
      </c>
      <c r="BX107" s="87"/>
      <c r="BY107" s="87">
        <f t="shared" si="236"/>
        <v>0</v>
      </c>
      <c r="BZ107" s="77" t="str">
        <f t="shared" si="237"/>
        <v xml:space="preserve">   </v>
      </c>
      <c r="CA107" s="87">
        <f>IF($A107&gt;BY$58, 0, SUM(BY107:BY$117)*BZ107*BY$133/BY$134+SUM(BY108:BY$117)*(BY$134-BY$133)/BY$134*BZ107)</f>
        <v>0</v>
      </c>
      <c r="CB107" s="87"/>
      <c r="CC107" s="87">
        <f t="shared" si="238"/>
        <v>0</v>
      </c>
      <c r="CD107" s="77" t="str">
        <f t="shared" si="239"/>
        <v xml:space="preserve">   </v>
      </c>
      <c r="CE107" s="87">
        <f>IF($A107&gt;CC$58, 0, SUM(CC107:CC$117)*CD107*CC$133/CC$134+SUM(CC108:CC$117)*(CC$134-CC$133)/CC$134*CD107)</f>
        <v>0</v>
      </c>
      <c r="CF107" s="87"/>
      <c r="CG107" s="87"/>
      <c r="CH107" s="77"/>
      <c r="CI107" s="87"/>
      <c r="CJ107" s="87"/>
      <c r="CK107" s="87">
        <f t="shared" si="240"/>
        <v>0</v>
      </c>
      <c r="CL107" s="77">
        <f t="shared" si="241"/>
        <v>3.8449999999999998E-2</v>
      </c>
      <c r="CM107" s="87">
        <f>IF($A107&gt;CK$58, 0, SUM(CK107:CK$117)*CL107*CK$133/CK$134+SUM(CK108:CK$117)*(CK$134-CK$133)/CK$134*CL107)</f>
        <v>2883750</v>
      </c>
      <c r="CN107" s="87"/>
      <c r="CO107" s="162">
        <f t="shared" si="242"/>
        <v>0</v>
      </c>
      <c r="CP107" s="87">
        <f t="shared" si="243"/>
        <v>2883750</v>
      </c>
      <c r="CQ107" s="32"/>
      <c r="CR107" s="87">
        <f t="shared" si="244"/>
        <v>0</v>
      </c>
      <c r="CS107" s="77" t="str">
        <f t="shared" si="245"/>
        <v xml:space="preserve">   </v>
      </c>
      <c r="CT107" s="87">
        <f>IF($A107&gt;CR$58, 0, SUM(CR107:CR$117)*CS107*CR$133/CR$134+SUM(CR108:CR$117)*(CR$134-CR$133)/CR$134*CS107)</f>
        <v>0</v>
      </c>
      <c r="CZ107" s="165">
        <f t="shared" si="246"/>
        <v>0</v>
      </c>
      <c r="DA107" s="165">
        <f t="shared" si="247"/>
        <v>0</v>
      </c>
      <c r="DB107" s="87"/>
      <c r="DC107" s="87">
        <f t="shared" si="258"/>
        <v>0</v>
      </c>
      <c r="DD107" s="77" t="str">
        <f t="shared" si="248"/>
        <v>---</v>
      </c>
      <c r="DE107" s="87">
        <f t="shared" si="249"/>
        <v>0</v>
      </c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W107" s="165">
        <f t="shared" si="259"/>
        <v>0</v>
      </c>
      <c r="DX107" s="165">
        <f t="shared" si="260"/>
        <v>2883750</v>
      </c>
      <c r="DY107" s="87"/>
      <c r="DZ107" s="53">
        <f t="shared" si="250"/>
        <v>2050</v>
      </c>
      <c r="EA107" s="35">
        <f t="shared" si="251"/>
        <v>0</v>
      </c>
      <c r="EB107" s="35">
        <f t="shared" si="252"/>
        <v>2883750</v>
      </c>
      <c r="EC107" s="35"/>
      <c r="ED107" s="49">
        <f t="shared" si="261"/>
        <v>27</v>
      </c>
    </row>
    <row r="108" spans="1:134" s="33" customFormat="1" outlineLevel="1">
      <c r="A108" s="7">
        <f t="shared" si="253"/>
        <v>2051</v>
      </c>
      <c r="B108" s="151">
        <f>Assumptions!B35</f>
        <v>5.3800000000000001E-2</v>
      </c>
      <c r="C108" s="151">
        <f>Assumptions!C35</f>
        <v>5.3800000000000001E-2</v>
      </c>
      <c r="D108" s="151">
        <f>Assumptions!D35</f>
        <v>3.5000000000000003E-2</v>
      </c>
      <c r="E108" s="151">
        <f>Assumptions!E35</f>
        <v>5.2999999999999999E-2</v>
      </c>
      <c r="F108" s="8"/>
      <c r="G108" s="8"/>
      <c r="H108" s="8"/>
      <c r="I108" s="8"/>
      <c r="J108" s="8"/>
      <c r="K108" s="8"/>
      <c r="L108" s="8"/>
      <c r="M108" s="87">
        <f t="shared" si="212"/>
        <v>0</v>
      </c>
      <c r="N108" s="77" t="str">
        <f t="shared" si="213"/>
        <v xml:space="preserve">   </v>
      </c>
      <c r="O108" s="87">
        <f>IF($A108&gt;M$58, 0, SUM(M108:M$117)*N108*M$133/M$134+SUM(M109:M$117)*(M$134-M$133)/M$134*N108)</f>
        <v>0</v>
      </c>
      <c r="P108" s="35"/>
      <c r="Q108" s="87">
        <f t="shared" si="214"/>
        <v>0</v>
      </c>
      <c r="R108" s="77" t="str">
        <f t="shared" si="215"/>
        <v xml:space="preserve">   </v>
      </c>
      <c r="S108" s="87">
        <f>IF($A108&gt;Q$58, 0, SUM(Q108:Q$117)*R108*Q$133/Q$134+SUM(Q109:Q$117)*(Q$134-Q$133)/Q$134*R108)</f>
        <v>0</v>
      </c>
      <c r="T108" s="35"/>
      <c r="U108" s="35">
        <f t="shared" si="216"/>
        <v>0</v>
      </c>
      <c r="V108" s="35">
        <f t="shared" si="217"/>
        <v>0</v>
      </c>
      <c r="W108" s="35"/>
      <c r="X108" s="87">
        <f t="shared" si="218"/>
        <v>0</v>
      </c>
      <c r="Y108" s="77" t="str">
        <f t="shared" si="219"/>
        <v xml:space="preserve">   </v>
      </c>
      <c r="Z108" s="87">
        <f>IF($A108&gt;X$58, 0, SUM(X108:X$117)*Y108*X$133/X$134+SUM(X109:X$117)*(X$134-X$133)/X$134*Y108)</f>
        <v>0</v>
      </c>
      <c r="AA108" s="87"/>
      <c r="AB108" s="87">
        <f t="shared" si="220"/>
        <v>0</v>
      </c>
      <c r="AC108" s="77" t="str">
        <f t="shared" si="221"/>
        <v xml:space="preserve">   </v>
      </c>
      <c r="AD108" s="87">
        <f>IF($A108&gt;AB$58, 0, SUM(AB108:AB$117)*AC108*AB$133/AB$134+SUM(AB109:AB$117)*(AB$134-AB$133)/AB$134*AC108)</f>
        <v>0</v>
      </c>
      <c r="AE108" s="35"/>
      <c r="AF108" s="87">
        <f t="shared" si="222"/>
        <v>0</v>
      </c>
      <c r="AG108" s="77" t="str">
        <f t="shared" si="223"/>
        <v xml:space="preserve">   </v>
      </c>
      <c r="AH108" s="87">
        <f>IF($A108&gt;AF$58, 0, SUM(AF108:AF$117)*AG108*AF$133/AF$134+SUM(AF109:AF$117)*(AF$134-AF$133)/AF$134*AG108)</f>
        <v>0</v>
      </c>
      <c r="AI108" s="35"/>
      <c r="AJ108" s="87"/>
      <c r="AK108" s="77"/>
      <c r="AL108" s="87"/>
      <c r="AM108" s="35"/>
      <c r="AN108" s="87">
        <f t="shared" si="224"/>
        <v>0</v>
      </c>
      <c r="AO108" s="77" t="str">
        <f>IF($A108&gt;AN$128, "   ", IF(AN$124="VRDB", $D108+$E108+#REF!, IF(AN$124="1M LIBOR", $B108*AN$125+AN$126, IF(AN$124="3M LIBOR", $C108*AN$125+AN$126, IF(AN$124="R-FLOATs", $D108+#REF!+#REF!, 0)))))</f>
        <v xml:space="preserve">   </v>
      </c>
      <c r="AP108" s="87">
        <f>IF($A108&gt;AN$128, 0, SUM(AN108:AN$117)*AO108*AN$133/AN$134+SUM(AN109:AN$117)*AO108*AN$133/AN$134)</f>
        <v>0</v>
      </c>
      <c r="AQ108" s="35"/>
      <c r="AR108" s="87">
        <f t="shared" si="225"/>
        <v>0</v>
      </c>
      <c r="AS108" s="77" t="str">
        <f>IF($A108&gt;AR$128, "   ", IF(AR$124="VRDB", $D108+$E108+#REF!, IF(AR$124="1M LIBOR", $B108*AR$125+AR$126, IF(AR$124="3M LIBOR", $C108*AR$125+AR$126, IF(AR$124="R-FLOATs", $D108+#REF!+#REF!, 0)))))</f>
        <v xml:space="preserve">   </v>
      </c>
      <c r="AT108" s="87">
        <f>IF($A108&gt;AR$128, 0, SUM(AR108:AR$117)*AS108*AR$133/AR$134+SUM(AR109:AR$117)*AS108*AR$133/AR$134)</f>
        <v>0</v>
      </c>
      <c r="AV108" s="35">
        <f t="shared" si="226"/>
        <v>0</v>
      </c>
      <c r="AW108" s="35">
        <f t="shared" si="227"/>
        <v>0</v>
      </c>
      <c r="AX108" s="35"/>
      <c r="AY108" s="87">
        <f t="shared" si="228"/>
        <v>0</v>
      </c>
      <c r="AZ108" s="77" t="str">
        <f t="shared" si="229"/>
        <v xml:space="preserve">   </v>
      </c>
      <c r="BA108" s="87">
        <f>IF($A108&gt;AY$58, 0, SUM(AY108:AY$117)*AZ108*AY$133/AY$134+SUM(AY109:AY$117)*(AY$134-AY$133)/AY$134*AZ108)</f>
        <v>0</v>
      </c>
      <c r="BB108" s="61"/>
      <c r="BC108" s="87">
        <f t="shared" si="230"/>
        <v>0</v>
      </c>
      <c r="BD108" s="77" t="str">
        <f t="shared" si="231"/>
        <v xml:space="preserve">   </v>
      </c>
      <c r="BE108" s="87">
        <f>IF($A108&gt;BC$128, 0, SUM(BC108:BC$117)*BD108*BC$133/BC$134+SUM(BC109:BC$117)*BD108*BC$133/BC$134)</f>
        <v>0</v>
      </c>
      <c r="BF108" s="61"/>
      <c r="BG108" s="87">
        <f t="shared" si="232"/>
        <v>0</v>
      </c>
      <c r="BH108" s="77" t="str">
        <f t="shared" si="233"/>
        <v xml:space="preserve">   </v>
      </c>
      <c r="BI108" s="87">
        <f>IF($A108&gt;BG$128, 0, SUM(BG108:BG$117)*BH108*BG$133/BG$134+SUM(BG109:BG$117)*BH108*BG$133/BG$134)</f>
        <v>0</v>
      </c>
      <c r="BJ108" s="61"/>
      <c r="BK108" s="35">
        <f t="shared" si="254"/>
        <v>0</v>
      </c>
      <c r="BL108" s="35">
        <f t="shared" si="255"/>
        <v>0</v>
      </c>
      <c r="BM108" s="8"/>
      <c r="BN108" s="87">
        <f t="shared" si="234"/>
        <v>0</v>
      </c>
      <c r="BO108" s="77" t="str">
        <f t="shared" si="235"/>
        <v xml:space="preserve">   </v>
      </c>
      <c r="BP108" s="87">
        <f>IF($A108&gt;BN$58, 0, SUM(BN108:BN$117)*BO108*BN$133/BN$134+SUM(BN109:BN$117)*(BN$134-BN$133)/BN$134*BO108)</f>
        <v>0</v>
      </c>
      <c r="BQ108" s="77"/>
      <c r="BR108" s="87"/>
      <c r="BS108" s="77"/>
      <c r="BT108" s="87"/>
      <c r="BU108" s="87"/>
      <c r="BV108" s="35">
        <f t="shared" si="256"/>
        <v>0</v>
      </c>
      <c r="BW108" s="35">
        <f t="shared" si="257"/>
        <v>0</v>
      </c>
      <c r="BX108" s="87"/>
      <c r="BY108" s="87">
        <f t="shared" si="236"/>
        <v>0</v>
      </c>
      <c r="BZ108" s="77" t="str">
        <f t="shared" si="237"/>
        <v xml:space="preserve">   </v>
      </c>
      <c r="CA108" s="87">
        <f>IF($A108&gt;BY$58, 0, SUM(BY108:BY$117)*BZ108*BY$133/BY$134+SUM(BY109:BY$117)*(BY$134-BY$133)/BY$134*BZ108)</f>
        <v>0</v>
      </c>
      <c r="CB108" s="87"/>
      <c r="CC108" s="87">
        <f t="shared" si="238"/>
        <v>0</v>
      </c>
      <c r="CD108" s="77" t="str">
        <f t="shared" si="239"/>
        <v xml:space="preserve">   </v>
      </c>
      <c r="CE108" s="87">
        <f>IF($A108&gt;CC$58, 0, SUM(CC108:CC$117)*CD108*CC$133/CC$134+SUM(CC109:CC$117)*(CC$134-CC$133)/CC$134*CD108)</f>
        <v>0</v>
      </c>
      <c r="CF108" s="87"/>
      <c r="CG108" s="87"/>
      <c r="CH108" s="77"/>
      <c r="CI108" s="87"/>
      <c r="CJ108" s="87"/>
      <c r="CK108" s="87">
        <f t="shared" si="240"/>
        <v>0</v>
      </c>
      <c r="CL108" s="77">
        <f t="shared" si="241"/>
        <v>3.8449999999999998E-2</v>
      </c>
      <c r="CM108" s="87">
        <f>IF($A108&gt;CK$58, 0, SUM(CK108:CK$117)*CL108*CK$133/CK$134+SUM(CK109:CK$117)*(CK$134-CK$133)/CK$134*CL108)</f>
        <v>2883750</v>
      </c>
      <c r="CN108" s="87"/>
      <c r="CO108" s="162">
        <f t="shared" si="242"/>
        <v>0</v>
      </c>
      <c r="CP108" s="87">
        <f t="shared" si="243"/>
        <v>2883750</v>
      </c>
      <c r="CQ108" s="32"/>
      <c r="CR108" s="87">
        <f t="shared" si="244"/>
        <v>0</v>
      </c>
      <c r="CS108" s="77" t="str">
        <f t="shared" si="245"/>
        <v xml:space="preserve">   </v>
      </c>
      <c r="CT108" s="87">
        <f>IF($A108&gt;CR$58, 0, SUM(CR108:CR$117)*CS108*CR$133/CR$134+SUM(CR109:CR$117)*(CR$134-CR$133)/CR$134*CS108)</f>
        <v>0</v>
      </c>
      <c r="CZ108" s="165">
        <f t="shared" si="246"/>
        <v>0</v>
      </c>
      <c r="DA108" s="165">
        <f t="shared" si="247"/>
        <v>0</v>
      </c>
      <c r="DB108" s="87"/>
      <c r="DC108" s="87">
        <f t="shared" si="258"/>
        <v>0</v>
      </c>
      <c r="DD108" s="77" t="str">
        <f t="shared" si="248"/>
        <v>---</v>
      </c>
      <c r="DE108" s="87">
        <f t="shared" si="249"/>
        <v>0</v>
      </c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W108" s="165">
        <f t="shared" si="259"/>
        <v>0</v>
      </c>
      <c r="DX108" s="165">
        <f t="shared" si="260"/>
        <v>2883750</v>
      </c>
      <c r="DY108" s="87"/>
      <c r="DZ108" s="53">
        <f t="shared" si="250"/>
        <v>2051</v>
      </c>
      <c r="EA108" s="35">
        <f t="shared" si="251"/>
        <v>0</v>
      </c>
      <c r="EB108" s="35">
        <f t="shared" si="252"/>
        <v>2883750</v>
      </c>
      <c r="EC108" s="35"/>
      <c r="ED108" s="49">
        <f t="shared" si="261"/>
        <v>28</v>
      </c>
    </row>
    <row r="109" spans="1:134" s="33" customFormat="1" outlineLevel="1">
      <c r="A109" s="7">
        <f t="shared" si="253"/>
        <v>2052</v>
      </c>
      <c r="B109" s="151">
        <f>Assumptions!B36</f>
        <v>5.3800000000000001E-2</v>
      </c>
      <c r="C109" s="151">
        <f>Assumptions!C36</f>
        <v>5.3800000000000001E-2</v>
      </c>
      <c r="D109" s="151">
        <f>Assumptions!D36</f>
        <v>3.5000000000000003E-2</v>
      </c>
      <c r="E109" s="151">
        <f>Assumptions!E36</f>
        <v>5.2999999999999999E-2</v>
      </c>
      <c r="F109" s="8"/>
      <c r="G109" s="8"/>
      <c r="H109" s="8"/>
      <c r="I109" s="8"/>
      <c r="J109" s="8"/>
      <c r="K109" s="8"/>
      <c r="L109" s="8"/>
      <c r="M109" s="87">
        <f t="shared" si="212"/>
        <v>0</v>
      </c>
      <c r="N109" s="77" t="str">
        <f t="shared" si="213"/>
        <v xml:space="preserve">   </v>
      </c>
      <c r="O109" s="87">
        <f>IF($A109&gt;M$58, 0, SUM(M109:M$117)*N109*M$133/M$134+SUM(M110:M$117)*(M$134-M$133)/M$134*N109)</f>
        <v>0</v>
      </c>
      <c r="P109" s="35"/>
      <c r="Q109" s="87">
        <f t="shared" si="214"/>
        <v>0</v>
      </c>
      <c r="R109" s="77" t="str">
        <f t="shared" si="215"/>
        <v xml:space="preserve">   </v>
      </c>
      <c r="S109" s="87">
        <f>IF($A109&gt;Q$58, 0, SUM(Q109:Q$117)*R109*Q$133/Q$134+SUM(Q110:Q$117)*(Q$134-Q$133)/Q$134*R109)</f>
        <v>0</v>
      </c>
      <c r="T109" s="35"/>
      <c r="U109" s="35">
        <f t="shared" si="216"/>
        <v>0</v>
      </c>
      <c r="V109" s="35">
        <f t="shared" si="217"/>
        <v>0</v>
      </c>
      <c r="W109" s="35"/>
      <c r="X109" s="87">
        <f t="shared" si="218"/>
        <v>0</v>
      </c>
      <c r="Y109" s="77" t="str">
        <f t="shared" si="219"/>
        <v xml:space="preserve">   </v>
      </c>
      <c r="Z109" s="87">
        <f>IF($A109&gt;X$58, 0, SUM(X109:X$117)*Y109*X$133/X$134+SUM(X110:X$117)*(X$134-X$133)/X$134*Y109)</f>
        <v>0</v>
      </c>
      <c r="AA109" s="87"/>
      <c r="AB109" s="87">
        <f t="shared" si="220"/>
        <v>0</v>
      </c>
      <c r="AC109" s="77" t="str">
        <f t="shared" si="221"/>
        <v xml:space="preserve">   </v>
      </c>
      <c r="AD109" s="87">
        <f>IF($A109&gt;AB$58, 0, SUM(AB109:AB$117)*AC109*AB$133/AB$134+SUM(AB110:AB$117)*(AB$134-AB$133)/AB$134*AC109)</f>
        <v>0</v>
      </c>
      <c r="AE109" s="35"/>
      <c r="AF109" s="87">
        <f t="shared" si="222"/>
        <v>0</v>
      </c>
      <c r="AG109" s="77" t="str">
        <f t="shared" si="223"/>
        <v xml:space="preserve">   </v>
      </c>
      <c r="AH109" s="87">
        <f>IF($A109&gt;AF$58, 0, SUM(AF109:AF$117)*AG109*AF$133/AF$134+SUM(AF110:AF$117)*(AF$134-AF$133)/AF$134*AG109)</f>
        <v>0</v>
      </c>
      <c r="AI109" s="35"/>
      <c r="AJ109" s="87"/>
      <c r="AK109" s="77"/>
      <c r="AL109" s="87"/>
      <c r="AM109" s="35"/>
      <c r="AN109" s="87">
        <f t="shared" si="224"/>
        <v>0</v>
      </c>
      <c r="AO109" s="77" t="str">
        <f>IF($A109&gt;AN$128, "   ", IF(AN$124="VRDB", $D109+$E109+#REF!, IF(AN$124="1M LIBOR", $B109*AN$125+AN$126, IF(AN$124="3M LIBOR", $C109*AN$125+AN$126, IF(AN$124="R-FLOATs", $D109+#REF!+#REF!, 0)))))</f>
        <v xml:space="preserve">   </v>
      </c>
      <c r="AP109" s="87">
        <f>IF($A109&gt;AN$128, 0, SUM(AN109:AN$117)*AO109*AN$133/AN$134+SUM(AN110:AN$117)*AO109*AN$133/AN$134)</f>
        <v>0</v>
      </c>
      <c r="AQ109" s="35"/>
      <c r="AR109" s="87">
        <f t="shared" si="225"/>
        <v>0</v>
      </c>
      <c r="AS109" s="77" t="str">
        <f>IF($A109&gt;AR$128, "   ", IF(AR$124="VRDB", $D109+$E109+#REF!, IF(AR$124="1M LIBOR", $B109*AR$125+AR$126, IF(AR$124="3M LIBOR", $C109*AR$125+AR$126, IF(AR$124="R-FLOATs", $D109+#REF!+#REF!, 0)))))</f>
        <v xml:space="preserve">   </v>
      </c>
      <c r="AT109" s="87">
        <f>IF($A109&gt;AR$128, 0, SUM(AR109:AR$117)*AS109*AR$133/AR$134+SUM(AR110:AR$117)*AS109*AR$133/AR$134)</f>
        <v>0</v>
      </c>
      <c r="AV109" s="35">
        <f t="shared" si="226"/>
        <v>0</v>
      </c>
      <c r="AW109" s="35">
        <f t="shared" si="227"/>
        <v>0</v>
      </c>
      <c r="AX109" s="35"/>
      <c r="AY109" s="87">
        <f t="shared" si="228"/>
        <v>0</v>
      </c>
      <c r="AZ109" s="77" t="str">
        <f t="shared" si="229"/>
        <v xml:space="preserve">   </v>
      </c>
      <c r="BA109" s="87">
        <f>IF($A109&gt;AY$58, 0, SUM(AY109:AY$117)*AZ109*AY$133/AY$134+SUM(AY110:AY$117)*(AY$134-AY$133)/AY$134*AZ109)</f>
        <v>0</v>
      </c>
      <c r="BB109" s="61"/>
      <c r="BC109" s="87">
        <f t="shared" si="230"/>
        <v>0</v>
      </c>
      <c r="BD109" s="77" t="str">
        <f t="shared" si="231"/>
        <v xml:space="preserve">   </v>
      </c>
      <c r="BE109" s="87">
        <f>IF($A109&gt;BC$128, 0, SUM(BC109:BC$117)*BD109*BC$133/BC$134+SUM(BC110:BC$117)*BD109*BC$133/BC$134)</f>
        <v>0</v>
      </c>
      <c r="BF109" s="61"/>
      <c r="BG109" s="87">
        <f t="shared" si="232"/>
        <v>0</v>
      </c>
      <c r="BH109" s="77" t="str">
        <f t="shared" si="233"/>
        <v xml:space="preserve">   </v>
      </c>
      <c r="BI109" s="87">
        <f>IF($A109&gt;BG$128, 0, SUM(BG109:BG$117)*BH109*BG$133/BG$134+SUM(BG110:BG$117)*BH109*BG$133/BG$134)</f>
        <v>0</v>
      </c>
      <c r="BJ109" s="61"/>
      <c r="BK109" s="35">
        <f t="shared" si="254"/>
        <v>0</v>
      </c>
      <c r="BL109" s="35">
        <f t="shared" si="255"/>
        <v>0</v>
      </c>
      <c r="BM109" s="8"/>
      <c r="BN109" s="87">
        <f t="shared" si="234"/>
        <v>0</v>
      </c>
      <c r="BO109" s="77" t="str">
        <f t="shared" si="235"/>
        <v xml:space="preserve">   </v>
      </c>
      <c r="BP109" s="87">
        <f>IF($A109&gt;BN$58, 0, SUM(BN109:BN$117)*BO109*BN$133/BN$134+SUM(BN110:BN$117)*(BN$134-BN$133)/BN$134*BO109)</f>
        <v>0</v>
      </c>
      <c r="BQ109" s="77"/>
      <c r="BR109" s="87"/>
      <c r="BS109" s="77"/>
      <c r="BT109" s="87"/>
      <c r="BU109" s="87"/>
      <c r="BV109" s="35">
        <f t="shared" si="256"/>
        <v>0</v>
      </c>
      <c r="BW109" s="35">
        <f t="shared" si="257"/>
        <v>0</v>
      </c>
      <c r="BX109" s="87"/>
      <c r="BY109" s="87">
        <f t="shared" si="236"/>
        <v>0</v>
      </c>
      <c r="BZ109" s="77" t="str">
        <f t="shared" si="237"/>
        <v xml:space="preserve">   </v>
      </c>
      <c r="CA109" s="87">
        <f>IF($A109&gt;BY$58, 0, SUM(BY109:BY$117)*BZ109*BY$133/BY$134+SUM(BY110:BY$117)*(BY$134-BY$133)/BY$134*BZ109)</f>
        <v>0</v>
      </c>
      <c r="CB109" s="87"/>
      <c r="CC109" s="87">
        <f t="shared" si="238"/>
        <v>0</v>
      </c>
      <c r="CD109" s="77" t="str">
        <f t="shared" si="239"/>
        <v xml:space="preserve">   </v>
      </c>
      <c r="CE109" s="87">
        <f>IF($A109&gt;CC$58, 0, SUM(CC109:CC$117)*CD109*CC$133/CC$134+SUM(CC110:CC$117)*(CC$134-CC$133)/CC$134*CD109)</f>
        <v>0</v>
      </c>
      <c r="CF109" s="87"/>
      <c r="CG109" s="87"/>
      <c r="CH109" s="77"/>
      <c r="CI109" s="87"/>
      <c r="CJ109" s="87"/>
      <c r="CK109" s="87">
        <f t="shared" si="240"/>
        <v>0</v>
      </c>
      <c r="CL109" s="77">
        <f t="shared" si="241"/>
        <v>3.8449999999999998E-2</v>
      </c>
      <c r="CM109" s="87">
        <f>IF($A109&gt;CK$58, 0, SUM(CK109:CK$117)*CL109*CK$133/CK$134+SUM(CK110:CK$117)*(CK$134-CK$133)/CK$134*CL109)</f>
        <v>2883750</v>
      </c>
      <c r="CN109" s="87"/>
      <c r="CO109" s="162">
        <f t="shared" si="242"/>
        <v>0</v>
      </c>
      <c r="CP109" s="87">
        <f t="shared" si="243"/>
        <v>2883750</v>
      </c>
      <c r="CQ109" s="32"/>
      <c r="CR109" s="87">
        <f t="shared" si="244"/>
        <v>0</v>
      </c>
      <c r="CS109" s="77" t="str">
        <f t="shared" si="245"/>
        <v xml:space="preserve">   </v>
      </c>
      <c r="CT109" s="87">
        <f>IF($A109&gt;CR$58, 0, SUM(CR109:CR$117)*CS109*CR$133/CR$134+SUM(CR110:CR$117)*(CR$134-CR$133)/CR$134*CS109)</f>
        <v>0</v>
      </c>
      <c r="CZ109" s="165">
        <f t="shared" si="246"/>
        <v>0</v>
      </c>
      <c r="DA109" s="165">
        <f t="shared" si="247"/>
        <v>0</v>
      </c>
      <c r="DB109" s="87"/>
      <c r="DC109" s="87">
        <f t="shared" si="258"/>
        <v>0</v>
      </c>
      <c r="DD109" s="77" t="str">
        <f t="shared" si="248"/>
        <v>---</v>
      </c>
      <c r="DE109" s="87">
        <f t="shared" si="249"/>
        <v>0</v>
      </c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W109" s="165">
        <f t="shared" si="259"/>
        <v>0</v>
      </c>
      <c r="DX109" s="165">
        <f t="shared" si="260"/>
        <v>2883750</v>
      </c>
      <c r="DY109" s="87"/>
      <c r="DZ109" s="53">
        <f t="shared" si="250"/>
        <v>2052</v>
      </c>
      <c r="EA109" s="35">
        <f t="shared" si="251"/>
        <v>0</v>
      </c>
      <c r="EB109" s="35">
        <f t="shared" si="252"/>
        <v>2883750</v>
      </c>
      <c r="EC109" s="35"/>
      <c r="ED109" s="49">
        <f t="shared" si="261"/>
        <v>29</v>
      </c>
    </row>
    <row r="110" spans="1:134" s="33" customFormat="1" outlineLevel="1">
      <c r="A110" s="7">
        <f t="shared" si="253"/>
        <v>2053</v>
      </c>
      <c r="B110" s="151">
        <f>Assumptions!B37</f>
        <v>5.3800000000000001E-2</v>
      </c>
      <c r="C110" s="151">
        <f>Assumptions!C37</f>
        <v>5.3800000000000001E-2</v>
      </c>
      <c r="D110" s="151">
        <f>Assumptions!D37</f>
        <v>3.5000000000000003E-2</v>
      </c>
      <c r="E110" s="151">
        <f>Assumptions!E37</f>
        <v>5.2999999999999999E-2</v>
      </c>
      <c r="F110" s="8"/>
      <c r="G110" s="8"/>
      <c r="H110" s="8"/>
      <c r="I110" s="8"/>
      <c r="J110" s="8"/>
      <c r="K110" s="8"/>
      <c r="L110" s="8"/>
      <c r="M110" s="87">
        <f t="shared" si="212"/>
        <v>0</v>
      </c>
      <c r="N110" s="77" t="str">
        <f t="shared" si="213"/>
        <v xml:space="preserve">   </v>
      </c>
      <c r="O110" s="87">
        <f>IF($A110&gt;M$58, 0, SUM(M110:M$117)*N110*M$133/M$134+SUM(M111:M$117)*(M$134-M$133)/M$134*N110)</f>
        <v>0</v>
      </c>
      <c r="P110" s="35"/>
      <c r="Q110" s="87">
        <f t="shared" si="214"/>
        <v>0</v>
      </c>
      <c r="R110" s="77" t="str">
        <f t="shared" si="215"/>
        <v xml:space="preserve">   </v>
      </c>
      <c r="S110" s="87">
        <f>IF($A110&gt;Q$58, 0, SUM(Q110:Q$117)*R110*Q$133/Q$134+SUM(Q111:Q$117)*(Q$134-Q$133)/Q$134*R110)</f>
        <v>0</v>
      </c>
      <c r="T110" s="35"/>
      <c r="U110" s="35">
        <f t="shared" si="216"/>
        <v>0</v>
      </c>
      <c r="V110" s="35">
        <f t="shared" si="217"/>
        <v>0</v>
      </c>
      <c r="W110" s="35"/>
      <c r="X110" s="87">
        <f t="shared" si="218"/>
        <v>0</v>
      </c>
      <c r="Y110" s="77" t="str">
        <f t="shared" si="219"/>
        <v xml:space="preserve">   </v>
      </c>
      <c r="Z110" s="87">
        <f>IF($A110&gt;X$58, 0, SUM(X110:X$117)*Y110*X$133/X$134+SUM(X111:X$117)*(X$134-X$133)/X$134*Y110)</f>
        <v>0</v>
      </c>
      <c r="AA110" s="87"/>
      <c r="AB110" s="87">
        <f t="shared" si="220"/>
        <v>0</v>
      </c>
      <c r="AC110" s="77" t="str">
        <f t="shared" si="221"/>
        <v xml:space="preserve">   </v>
      </c>
      <c r="AD110" s="87">
        <f>IF($A110&gt;AB$58, 0, SUM(AB110:AB$117)*AC110*AB$133/AB$134+SUM(AB111:AB$117)*(AB$134-AB$133)/AB$134*AC110)</f>
        <v>0</v>
      </c>
      <c r="AE110" s="35"/>
      <c r="AF110" s="87">
        <f t="shared" si="222"/>
        <v>0</v>
      </c>
      <c r="AG110" s="77" t="str">
        <f t="shared" si="223"/>
        <v xml:space="preserve">   </v>
      </c>
      <c r="AH110" s="87">
        <f>IF($A110&gt;AF$58, 0, SUM(AF110:AF$117)*AG110*AF$133/AF$134+SUM(AF111:AF$117)*(AF$134-AF$133)/AF$134*AG110)</f>
        <v>0</v>
      </c>
      <c r="AI110" s="35"/>
      <c r="AJ110" s="87"/>
      <c r="AK110" s="77"/>
      <c r="AL110" s="87"/>
      <c r="AM110" s="35"/>
      <c r="AN110" s="87">
        <f t="shared" si="224"/>
        <v>0</v>
      </c>
      <c r="AO110" s="77" t="str">
        <f>IF($A110&gt;AN$128, "   ", IF(AN$124="VRDB", $D110+$E110+#REF!, IF(AN$124="1M LIBOR", $B110*AN$125+AN$126, IF(AN$124="3M LIBOR", $C110*AN$125+AN$126, IF(AN$124="R-FLOATs", $D110+#REF!+#REF!, 0)))))</f>
        <v xml:space="preserve">   </v>
      </c>
      <c r="AP110" s="87">
        <f>IF($A110&gt;AN$128, 0, SUM(AN110:AN$117)*AO110*AN$133/AN$134+SUM(AN111:AN$117)*AO110*AN$133/AN$134)</f>
        <v>0</v>
      </c>
      <c r="AQ110" s="35"/>
      <c r="AR110" s="87">
        <f t="shared" si="225"/>
        <v>0</v>
      </c>
      <c r="AS110" s="77" t="str">
        <f>IF($A110&gt;AR$128, "   ", IF(AR$124="VRDB", $D110+$E110+#REF!, IF(AR$124="1M LIBOR", $B110*AR$125+AR$126, IF(AR$124="3M LIBOR", $C110*AR$125+AR$126, IF(AR$124="R-FLOATs", $D110+#REF!+#REF!, 0)))))</f>
        <v xml:space="preserve">   </v>
      </c>
      <c r="AT110" s="87">
        <f>IF($A110&gt;AR$128, 0, SUM(AR110:AR$117)*AS110*AR$133/AR$134+SUM(AR111:AR$117)*AS110*AR$133/AR$134)</f>
        <v>0</v>
      </c>
      <c r="AV110" s="35">
        <f t="shared" si="226"/>
        <v>0</v>
      </c>
      <c r="AW110" s="35">
        <f t="shared" si="227"/>
        <v>0</v>
      </c>
      <c r="AX110" s="35"/>
      <c r="AY110" s="87">
        <f t="shared" si="228"/>
        <v>0</v>
      </c>
      <c r="AZ110" s="77" t="str">
        <f t="shared" si="229"/>
        <v xml:space="preserve">   </v>
      </c>
      <c r="BA110" s="87">
        <f>IF($A110&gt;AY$58, 0, SUM(AY110:AY$117)*AZ110*AY$133/AY$134+SUM(AY111:AY$117)*(AY$134-AY$133)/AY$134*AZ110)</f>
        <v>0</v>
      </c>
      <c r="BB110" s="61"/>
      <c r="BC110" s="87">
        <f t="shared" si="230"/>
        <v>0</v>
      </c>
      <c r="BD110" s="77" t="str">
        <f t="shared" si="231"/>
        <v xml:space="preserve">   </v>
      </c>
      <c r="BE110" s="87">
        <f>IF($A110&gt;BC$128, 0, SUM(BC110:BC$117)*BD110*BC$133/BC$134+SUM(BC111:BC$117)*BD110*BC$133/BC$134)</f>
        <v>0</v>
      </c>
      <c r="BF110" s="61"/>
      <c r="BG110" s="87">
        <f t="shared" si="232"/>
        <v>0</v>
      </c>
      <c r="BH110" s="77" t="str">
        <f t="shared" si="233"/>
        <v xml:space="preserve">   </v>
      </c>
      <c r="BI110" s="87">
        <f>IF($A110&gt;BG$128, 0, SUM(BG110:BG$117)*BH110*BG$133/BG$134+SUM(BG111:BG$117)*BH110*BG$133/BG$134)</f>
        <v>0</v>
      </c>
      <c r="BJ110" s="61"/>
      <c r="BK110" s="35">
        <f t="shared" si="254"/>
        <v>0</v>
      </c>
      <c r="BL110" s="35">
        <f t="shared" si="255"/>
        <v>0</v>
      </c>
      <c r="BM110" s="8"/>
      <c r="BN110" s="87">
        <f t="shared" si="234"/>
        <v>0</v>
      </c>
      <c r="BO110" s="77" t="str">
        <f t="shared" si="235"/>
        <v xml:space="preserve">   </v>
      </c>
      <c r="BP110" s="87">
        <f>IF($A110&gt;BN$58, 0, SUM(BN110:BN$117)*BO110*BN$133/BN$134+SUM(BN111:BN$117)*(BN$134-BN$133)/BN$134*BO110)</f>
        <v>0</v>
      </c>
      <c r="BQ110" s="77"/>
      <c r="BR110" s="87"/>
      <c r="BS110" s="77"/>
      <c r="BT110" s="87"/>
      <c r="BU110" s="87"/>
      <c r="BV110" s="35">
        <f t="shared" si="256"/>
        <v>0</v>
      </c>
      <c r="BW110" s="35">
        <f t="shared" si="257"/>
        <v>0</v>
      </c>
      <c r="BX110" s="87"/>
      <c r="BY110" s="87">
        <f t="shared" si="236"/>
        <v>0</v>
      </c>
      <c r="BZ110" s="77" t="str">
        <f t="shared" si="237"/>
        <v xml:space="preserve">   </v>
      </c>
      <c r="CA110" s="87">
        <f>IF($A110&gt;BY$58, 0, SUM(BY110:BY$117)*BZ110*BY$133/BY$134+SUM(BY111:BY$117)*(BY$134-BY$133)/BY$134*BZ110)</f>
        <v>0</v>
      </c>
      <c r="CB110" s="87"/>
      <c r="CC110" s="87">
        <f t="shared" si="238"/>
        <v>0</v>
      </c>
      <c r="CD110" s="77" t="str">
        <f t="shared" si="239"/>
        <v xml:space="preserve">   </v>
      </c>
      <c r="CE110" s="87">
        <f>IF($A110&gt;CC$58, 0, SUM(CC110:CC$117)*CD110*CC$133/CC$134+SUM(CC111:CC$117)*(CC$134-CC$133)/CC$134*CD110)</f>
        <v>0</v>
      </c>
      <c r="CF110" s="87"/>
      <c r="CG110" s="87"/>
      <c r="CH110" s="77"/>
      <c r="CI110" s="87"/>
      <c r="CJ110" s="87"/>
      <c r="CK110" s="87">
        <f t="shared" si="240"/>
        <v>0</v>
      </c>
      <c r="CL110" s="77">
        <f t="shared" si="241"/>
        <v>3.8449999999999998E-2</v>
      </c>
      <c r="CM110" s="87">
        <f>IF($A110&gt;CK$58, 0, SUM(CK110:CK$117)*CL110*CK$133/CK$134+SUM(CK111:CK$117)*(CK$134-CK$133)/CK$134*CL110)</f>
        <v>2883750</v>
      </c>
      <c r="CN110" s="87"/>
      <c r="CO110" s="162">
        <f t="shared" si="242"/>
        <v>0</v>
      </c>
      <c r="CP110" s="87">
        <f t="shared" si="243"/>
        <v>2883750</v>
      </c>
      <c r="CQ110" s="32"/>
      <c r="CR110" s="87">
        <f t="shared" si="244"/>
        <v>0</v>
      </c>
      <c r="CS110" s="77" t="str">
        <f t="shared" si="245"/>
        <v xml:space="preserve">   </v>
      </c>
      <c r="CT110" s="87">
        <f>IF($A110&gt;CR$58, 0, SUM(CR110:CR$117)*CS110*CR$133/CR$134+SUM(CR111:CR$117)*(CR$134-CR$133)/CR$134*CS110)</f>
        <v>0</v>
      </c>
      <c r="CZ110" s="165">
        <f t="shared" si="246"/>
        <v>0</v>
      </c>
      <c r="DA110" s="165">
        <f t="shared" si="247"/>
        <v>0</v>
      </c>
      <c r="DB110" s="87"/>
      <c r="DC110" s="87">
        <f t="shared" si="258"/>
        <v>0</v>
      </c>
      <c r="DD110" s="77" t="str">
        <f t="shared" si="248"/>
        <v>---</v>
      </c>
      <c r="DE110" s="87">
        <f t="shared" si="249"/>
        <v>0</v>
      </c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W110" s="165">
        <f t="shared" si="259"/>
        <v>0</v>
      </c>
      <c r="DX110" s="165">
        <f t="shared" si="260"/>
        <v>2883750</v>
      </c>
      <c r="DY110" s="87"/>
      <c r="DZ110" s="53">
        <f t="shared" si="250"/>
        <v>2053</v>
      </c>
      <c r="EA110" s="35">
        <f t="shared" si="251"/>
        <v>0</v>
      </c>
      <c r="EB110" s="35">
        <f t="shared" si="252"/>
        <v>2883750</v>
      </c>
      <c r="EC110" s="35"/>
      <c r="ED110" s="49">
        <f t="shared" si="261"/>
        <v>30</v>
      </c>
    </row>
    <row r="111" spans="1:134" s="33" customFormat="1" outlineLevel="1">
      <c r="A111" s="7">
        <f t="shared" si="253"/>
        <v>2054</v>
      </c>
      <c r="B111" s="151">
        <f>Assumptions!B38</f>
        <v>5.3800000000000001E-2</v>
      </c>
      <c r="C111" s="151">
        <f>Assumptions!C38</f>
        <v>5.3800000000000001E-2</v>
      </c>
      <c r="D111" s="151">
        <f>Assumptions!D38</f>
        <v>3.5000000000000003E-2</v>
      </c>
      <c r="E111" s="151">
        <f>Assumptions!E38</f>
        <v>5.2999999999999999E-2</v>
      </c>
      <c r="F111" s="8"/>
      <c r="G111" s="8"/>
      <c r="H111" s="8"/>
      <c r="I111" s="8"/>
      <c r="J111" s="8"/>
      <c r="K111" s="8"/>
      <c r="L111" s="8"/>
      <c r="M111" s="87">
        <f t="shared" si="212"/>
        <v>0</v>
      </c>
      <c r="N111" s="77" t="str">
        <f t="shared" si="213"/>
        <v xml:space="preserve">   </v>
      </c>
      <c r="O111" s="87">
        <f>IF($A111&gt;M$58, 0, SUM(M111:M$117)*N111*M$133/M$134+SUM(M112:M$117)*(M$134-M$133)/M$134*N111)</f>
        <v>0</v>
      </c>
      <c r="P111" s="35"/>
      <c r="Q111" s="87">
        <f t="shared" si="214"/>
        <v>0</v>
      </c>
      <c r="R111" s="77" t="str">
        <f t="shared" si="215"/>
        <v xml:space="preserve">   </v>
      </c>
      <c r="S111" s="87">
        <f>IF($A111&gt;Q$58, 0, SUM(Q111:Q$117)*R111*Q$133/Q$134+SUM(Q112:Q$117)*(Q$134-Q$133)/Q$134*R111)</f>
        <v>0</v>
      </c>
      <c r="T111" s="35"/>
      <c r="U111" s="35">
        <f t="shared" si="216"/>
        <v>0</v>
      </c>
      <c r="V111" s="35">
        <f t="shared" si="217"/>
        <v>0</v>
      </c>
      <c r="W111" s="35"/>
      <c r="X111" s="87">
        <f t="shared" si="218"/>
        <v>0</v>
      </c>
      <c r="Y111" s="77" t="str">
        <f t="shared" si="219"/>
        <v xml:space="preserve">   </v>
      </c>
      <c r="Z111" s="87">
        <f>IF($A111&gt;X$58, 0, SUM(X111:X$117)*Y111*X$133/X$134+SUM(X112:X$117)*(X$134-X$133)/X$134*Y111)</f>
        <v>0</v>
      </c>
      <c r="AA111" s="87"/>
      <c r="AB111" s="87">
        <f t="shared" si="220"/>
        <v>0</v>
      </c>
      <c r="AC111" s="77" t="str">
        <f t="shared" si="221"/>
        <v xml:space="preserve">   </v>
      </c>
      <c r="AD111" s="87">
        <f>IF($A111&gt;AB$58, 0, SUM(AB111:AB$117)*AC111*AB$133/AB$134+SUM(AB112:AB$117)*(AB$134-AB$133)/AB$134*AC111)</f>
        <v>0</v>
      </c>
      <c r="AE111" s="35"/>
      <c r="AF111" s="87">
        <f t="shared" si="222"/>
        <v>0</v>
      </c>
      <c r="AG111" s="77" t="str">
        <f t="shared" si="223"/>
        <v xml:space="preserve">   </v>
      </c>
      <c r="AH111" s="87">
        <f>IF($A111&gt;AF$58, 0, SUM(AF111:AF$117)*AG111*AF$133/AF$134+SUM(AF112:AF$117)*(AF$134-AF$133)/AF$134*AG111)</f>
        <v>0</v>
      </c>
      <c r="AI111" s="35"/>
      <c r="AJ111" s="87"/>
      <c r="AK111" s="77"/>
      <c r="AL111" s="87"/>
      <c r="AM111" s="35"/>
      <c r="AN111" s="87">
        <f t="shared" si="224"/>
        <v>0</v>
      </c>
      <c r="AO111" s="77" t="str">
        <f>IF($A111&gt;AN$128, "   ", IF(AN$124="VRDB", $D111+$E111+#REF!, IF(AN$124="1M LIBOR", $B111*AN$125+AN$126, IF(AN$124="3M LIBOR", $C111*AN$125+AN$126, IF(AN$124="R-FLOATs", $D111+#REF!+#REF!, 0)))))</f>
        <v xml:space="preserve">   </v>
      </c>
      <c r="AP111" s="87">
        <f>IF($A111&gt;AN$128, 0, SUM(AN111:AN$117)*AO111*AN$133/AN$134+SUM(AN112:AN$117)*AO111*AN$133/AN$134)</f>
        <v>0</v>
      </c>
      <c r="AQ111" s="35"/>
      <c r="AR111" s="87">
        <f t="shared" si="225"/>
        <v>0</v>
      </c>
      <c r="AS111" s="77" t="str">
        <f>IF($A111&gt;AR$128, "   ", IF(AR$124="VRDB", $D111+$E111+#REF!, IF(AR$124="1M LIBOR", $B111*AR$125+AR$126, IF(AR$124="3M LIBOR", $C111*AR$125+AR$126, IF(AR$124="R-FLOATs", $D111+#REF!+#REF!, 0)))))</f>
        <v xml:space="preserve">   </v>
      </c>
      <c r="AT111" s="87">
        <f>IF($A111&gt;AR$128, 0, SUM(AR111:AR$117)*AS111*AR$133/AR$134+SUM(AR112:AR$117)*AS111*AR$133/AR$134)</f>
        <v>0</v>
      </c>
      <c r="AV111" s="35">
        <f t="shared" si="226"/>
        <v>0</v>
      </c>
      <c r="AW111" s="35">
        <f t="shared" si="227"/>
        <v>0</v>
      </c>
      <c r="AX111" s="35"/>
      <c r="AY111" s="87">
        <f t="shared" si="228"/>
        <v>0</v>
      </c>
      <c r="AZ111" s="77" t="str">
        <f t="shared" si="229"/>
        <v xml:space="preserve">   </v>
      </c>
      <c r="BA111" s="87">
        <f>IF($A111&gt;AY$58, 0, SUM(AY111:AY$117)*AZ111*AY$133/AY$134+SUM(AY112:AY$117)*(AY$134-AY$133)/AY$134*AZ111)</f>
        <v>0</v>
      </c>
      <c r="BB111" s="61"/>
      <c r="BC111" s="87">
        <f t="shared" si="230"/>
        <v>0</v>
      </c>
      <c r="BD111" s="77" t="str">
        <f t="shared" si="231"/>
        <v xml:space="preserve">   </v>
      </c>
      <c r="BE111" s="87">
        <f>IF($A111&gt;BC$128, 0, SUM(BC111:BC$117)*BD111*BC$133/BC$134+SUM(BC112:BC$117)*BD111*BC$133/BC$134)</f>
        <v>0</v>
      </c>
      <c r="BF111" s="61"/>
      <c r="BG111" s="87">
        <f t="shared" si="232"/>
        <v>0</v>
      </c>
      <c r="BH111" s="77" t="str">
        <f t="shared" si="233"/>
        <v xml:space="preserve">   </v>
      </c>
      <c r="BI111" s="87">
        <f>IF($A111&gt;BG$128, 0, SUM(BG111:BG$117)*BH111*BG$133/BG$134+SUM(BG112:BG$117)*BH111*BG$133/BG$134)</f>
        <v>0</v>
      </c>
      <c r="BJ111" s="61"/>
      <c r="BK111" s="35">
        <f t="shared" si="254"/>
        <v>0</v>
      </c>
      <c r="BL111" s="35">
        <f t="shared" si="255"/>
        <v>0</v>
      </c>
      <c r="BM111" s="8"/>
      <c r="BN111" s="87">
        <f t="shared" si="234"/>
        <v>0</v>
      </c>
      <c r="BO111" s="77" t="str">
        <f t="shared" si="235"/>
        <v xml:space="preserve">   </v>
      </c>
      <c r="BP111" s="87">
        <f>IF($A111&gt;BN$58, 0, SUM(BN111:BN$117)*BO111*BN$133/BN$134+SUM(BN112:BN$117)*(BN$134-BN$133)/BN$134*BO111)</f>
        <v>0</v>
      </c>
      <c r="BQ111" s="77"/>
      <c r="BR111" s="87"/>
      <c r="BS111" s="77"/>
      <c r="BT111" s="87"/>
      <c r="BU111" s="87"/>
      <c r="BV111" s="35">
        <f t="shared" si="256"/>
        <v>0</v>
      </c>
      <c r="BW111" s="35">
        <f t="shared" si="257"/>
        <v>0</v>
      </c>
      <c r="BX111" s="87"/>
      <c r="BY111" s="87">
        <f t="shared" si="236"/>
        <v>0</v>
      </c>
      <c r="BZ111" s="77" t="str">
        <f t="shared" si="237"/>
        <v xml:space="preserve">   </v>
      </c>
      <c r="CA111" s="87">
        <f>IF($A111&gt;BY$58, 0, SUM(BY111:BY$117)*BZ111*BY$133/BY$134+SUM(BY112:BY$117)*(BY$134-BY$133)/BY$134*BZ111)</f>
        <v>0</v>
      </c>
      <c r="CB111" s="87"/>
      <c r="CC111" s="87">
        <f t="shared" si="238"/>
        <v>0</v>
      </c>
      <c r="CD111" s="77" t="str">
        <f t="shared" si="239"/>
        <v xml:space="preserve">   </v>
      </c>
      <c r="CE111" s="87">
        <f>IF($A111&gt;CC$58, 0, SUM(CC111:CC$117)*CD111*CC$133/CC$134+SUM(CC112:CC$117)*(CC$134-CC$133)/CC$134*CD111)</f>
        <v>0</v>
      </c>
      <c r="CF111" s="87"/>
      <c r="CG111" s="87"/>
      <c r="CH111" s="77"/>
      <c r="CI111" s="87"/>
      <c r="CJ111" s="87"/>
      <c r="CK111" s="87">
        <f t="shared" si="240"/>
        <v>0</v>
      </c>
      <c r="CL111" s="77">
        <f t="shared" si="241"/>
        <v>3.8449999999999998E-2</v>
      </c>
      <c r="CM111" s="87">
        <f>IF($A111&gt;CK$58, 0, SUM(CK111:CK$117)*CL111*CK$133/CK$134+SUM(CK112:CK$117)*(CK$134-CK$133)/CK$134*CL111)</f>
        <v>2883750</v>
      </c>
      <c r="CN111" s="87"/>
      <c r="CO111" s="162">
        <f t="shared" si="242"/>
        <v>0</v>
      </c>
      <c r="CP111" s="87">
        <f t="shared" si="243"/>
        <v>2883750</v>
      </c>
      <c r="CQ111" s="32"/>
      <c r="CR111" s="87">
        <f t="shared" si="244"/>
        <v>0</v>
      </c>
      <c r="CS111" s="77" t="str">
        <f t="shared" si="245"/>
        <v xml:space="preserve">   </v>
      </c>
      <c r="CT111" s="87">
        <f>IF($A111&gt;CR$58, 0, SUM(CR111:CR$117)*CS111*CR$133/CR$134+SUM(CR112:CR$117)*(CR$134-CR$133)/CR$134*CS111)</f>
        <v>0</v>
      </c>
      <c r="CZ111" s="165">
        <f t="shared" si="246"/>
        <v>0</v>
      </c>
      <c r="DA111" s="165">
        <f t="shared" si="247"/>
        <v>0</v>
      </c>
      <c r="DB111" s="87"/>
      <c r="DC111" s="87">
        <f t="shared" si="258"/>
        <v>0</v>
      </c>
      <c r="DD111" s="77" t="str">
        <f t="shared" si="248"/>
        <v>---</v>
      </c>
      <c r="DE111" s="87">
        <f t="shared" si="249"/>
        <v>0</v>
      </c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W111" s="165">
        <f t="shared" si="259"/>
        <v>0</v>
      </c>
      <c r="DX111" s="165">
        <f t="shared" si="260"/>
        <v>2883750</v>
      </c>
      <c r="DY111" s="87"/>
      <c r="DZ111" s="53">
        <f t="shared" si="250"/>
        <v>2054</v>
      </c>
      <c r="EA111" s="35">
        <f t="shared" si="251"/>
        <v>0</v>
      </c>
      <c r="EB111" s="35">
        <f t="shared" si="252"/>
        <v>2883750</v>
      </c>
      <c r="EC111" s="35"/>
      <c r="ED111" s="49">
        <f t="shared" si="261"/>
        <v>31</v>
      </c>
    </row>
    <row r="112" spans="1:134" s="33" customFormat="1" outlineLevel="1">
      <c r="A112" s="7">
        <f t="shared" si="253"/>
        <v>2055</v>
      </c>
      <c r="B112" s="151">
        <f>Assumptions!B39</f>
        <v>5.3800000000000001E-2</v>
      </c>
      <c r="C112" s="151">
        <f>Assumptions!C39</f>
        <v>5.3800000000000001E-2</v>
      </c>
      <c r="D112" s="151">
        <f>Assumptions!D39</f>
        <v>3.5000000000000003E-2</v>
      </c>
      <c r="E112" s="151">
        <f>Assumptions!E39</f>
        <v>5.2999999999999999E-2</v>
      </c>
      <c r="F112" s="8"/>
      <c r="G112" s="8"/>
      <c r="H112" s="8"/>
      <c r="I112" s="8"/>
      <c r="J112" s="8"/>
      <c r="K112" s="8"/>
      <c r="L112" s="8"/>
      <c r="M112" s="87">
        <f t="shared" si="212"/>
        <v>0</v>
      </c>
      <c r="N112" s="77" t="str">
        <f t="shared" si="213"/>
        <v xml:space="preserve">   </v>
      </c>
      <c r="O112" s="87">
        <f>IF($A112&gt;M$58, 0, SUM(M112:M$117)*N112*M$133/M$134+SUM(M113:M$117)*(M$134-M$133)/M$134*N112)</f>
        <v>0</v>
      </c>
      <c r="P112" s="35"/>
      <c r="Q112" s="87">
        <f t="shared" si="214"/>
        <v>0</v>
      </c>
      <c r="R112" s="77" t="str">
        <f t="shared" si="215"/>
        <v xml:space="preserve">   </v>
      </c>
      <c r="S112" s="87">
        <f>IF($A112&gt;Q$58, 0, SUM(Q112:Q$117)*R112*Q$133/Q$134+SUM(Q113:Q$117)*(Q$134-Q$133)/Q$134*R112)</f>
        <v>0</v>
      </c>
      <c r="T112" s="35"/>
      <c r="U112" s="35">
        <f t="shared" ref="U112:U117" si="262">M112+Q112</f>
        <v>0</v>
      </c>
      <c r="V112" s="35">
        <f t="shared" ref="V112:V117" si="263">O112+S112</f>
        <v>0</v>
      </c>
      <c r="W112" s="35"/>
      <c r="X112" s="87">
        <f t="shared" si="218"/>
        <v>0</v>
      </c>
      <c r="Y112" s="77" t="str">
        <f t="shared" si="219"/>
        <v xml:space="preserve">   </v>
      </c>
      <c r="Z112" s="87">
        <f>IF($A112&gt;X$58, 0, SUM(X112:X$117)*Y112*X$133/X$134+SUM(X113:X$117)*(X$134-X$133)/X$134*Y112)</f>
        <v>0</v>
      </c>
      <c r="AA112" s="87"/>
      <c r="AB112" s="87">
        <f t="shared" si="220"/>
        <v>0</v>
      </c>
      <c r="AC112" s="77" t="str">
        <f t="shared" si="221"/>
        <v xml:space="preserve">   </v>
      </c>
      <c r="AD112" s="87">
        <f>IF($A112&gt;AB$58, 0, SUM(AB112:AB$117)*AC112*AB$133/AB$134+SUM(AB113:AB$117)*(AB$134-AB$133)/AB$134*AC112)</f>
        <v>0</v>
      </c>
      <c r="AE112" s="35"/>
      <c r="AF112" s="87">
        <f t="shared" si="222"/>
        <v>0</v>
      </c>
      <c r="AG112" s="77" t="str">
        <f t="shared" si="223"/>
        <v xml:space="preserve">   </v>
      </c>
      <c r="AH112" s="87">
        <f>IF($A112&gt;AF$58, 0, SUM(AF112:AF$117)*AG112*AF$133/AF$134+SUM(AF113:AF$117)*(AF$134-AF$133)/AF$134*AG112)</f>
        <v>0</v>
      </c>
      <c r="AI112" s="35"/>
      <c r="AJ112" s="87"/>
      <c r="AK112" s="77"/>
      <c r="AL112" s="87"/>
      <c r="AM112" s="35"/>
      <c r="AN112" s="87">
        <f t="shared" si="224"/>
        <v>0</v>
      </c>
      <c r="AO112" s="77" t="str">
        <f>IF($A112&gt;AN$128, "   ", IF(AN$124="VRDB", $D112+$E112+#REF!, IF(AN$124="1M LIBOR", $B112*AN$125+AN$126, IF(AN$124="3M LIBOR", $C112*AN$125+AN$126, IF(AN$124="R-FLOATs", $D112+#REF!+#REF!, 0)))))</f>
        <v xml:space="preserve">   </v>
      </c>
      <c r="AP112" s="87">
        <f>IF($A112&gt;AN$128, 0, SUM(AN112:AN$117)*AO112*AN$133/AN$134+SUM(AN113:AN$117)*AO112*AN$133/AN$134)</f>
        <v>0</v>
      </c>
      <c r="AQ112" s="35"/>
      <c r="AR112" s="87">
        <f t="shared" si="225"/>
        <v>0</v>
      </c>
      <c r="AS112" s="77" t="str">
        <f>IF($A112&gt;AR$128, "   ", IF(AR$124="VRDB", $D112+$E112+#REF!, IF(AR$124="1M LIBOR", $B112*AR$125+AR$126, IF(AR$124="3M LIBOR", $C112*AR$125+AR$126, IF(AR$124="R-FLOATs", $D112+#REF!+#REF!, 0)))))</f>
        <v xml:space="preserve">   </v>
      </c>
      <c r="AT112" s="87">
        <f>IF($A112&gt;AR$128, 0, SUM(AR112:AR$117)*AS112*AR$133/AR$134+SUM(AR113:AR$117)*AS112*AR$133/AR$134)</f>
        <v>0</v>
      </c>
      <c r="AV112" s="35">
        <f t="shared" ref="AV112:AV117" si="264">AF112+AJ112+AN112+AR112</f>
        <v>0</v>
      </c>
      <c r="AW112" s="35">
        <f t="shared" ref="AW112:AW117" si="265">AH112+AL112+AP112+AT112</f>
        <v>0</v>
      </c>
      <c r="AX112" s="35"/>
      <c r="AY112" s="87">
        <f t="shared" si="228"/>
        <v>0</v>
      </c>
      <c r="AZ112" s="77" t="str">
        <f t="shared" si="229"/>
        <v xml:space="preserve">   </v>
      </c>
      <c r="BA112" s="87">
        <f>IF($A112&gt;AY$58, 0, SUM(AY112:AY$117)*AZ112*AY$133/AY$134+SUM(AY113:AY$117)*(AY$134-AY$133)/AY$134*AZ112)</f>
        <v>0</v>
      </c>
      <c r="BB112" s="61"/>
      <c r="BC112" s="87">
        <f t="shared" si="230"/>
        <v>0</v>
      </c>
      <c r="BD112" s="77" t="str">
        <f t="shared" si="231"/>
        <v xml:space="preserve">   </v>
      </c>
      <c r="BE112" s="87">
        <f>IF($A112&gt;BC$128, 0, SUM(BC112:BC$117)*BD112*BC$133/BC$134+SUM(BC113:BC$117)*BD112*BC$133/BC$134)</f>
        <v>0</v>
      </c>
      <c r="BF112" s="61"/>
      <c r="BG112" s="87">
        <f t="shared" si="232"/>
        <v>0</v>
      </c>
      <c r="BH112" s="77" t="str">
        <f t="shared" si="233"/>
        <v xml:space="preserve">   </v>
      </c>
      <c r="BI112" s="87">
        <f>IF($A112&gt;BG$128, 0, SUM(BG112:BG$117)*BH112*BG$133/BG$134+SUM(BG113:BG$117)*BH112*BG$133/BG$134)</f>
        <v>0</v>
      </c>
      <c r="BJ112" s="61"/>
      <c r="BK112" s="35">
        <f t="shared" si="254"/>
        <v>0</v>
      </c>
      <c r="BL112" s="35">
        <f t="shared" si="255"/>
        <v>0</v>
      </c>
      <c r="BM112" s="8"/>
      <c r="BN112" s="87">
        <f t="shared" si="234"/>
        <v>0</v>
      </c>
      <c r="BO112" s="77" t="str">
        <f t="shared" si="235"/>
        <v xml:space="preserve">   </v>
      </c>
      <c r="BP112" s="87">
        <f>IF($A112&gt;BN$58, 0, SUM(BN112:BN$117)*BO112*BN$133/BN$134+SUM(BN113:BN$117)*(BN$134-BN$133)/BN$134*BO112)</f>
        <v>0</v>
      </c>
      <c r="BQ112" s="77"/>
      <c r="BR112" s="87"/>
      <c r="BS112" s="77"/>
      <c r="BT112" s="87"/>
      <c r="BU112" s="87"/>
      <c r="BV112" s="35">
        <f t="shared" si="256"/>
        <v>0</v>
      </c>
      <c r="BW112" s="35">
        <f t="shared" si="257"/>
        <v>0</v>
      </c>
      <c r="BX112" s="87"/>
      <c r="BY112" s="87">
        <f t="shared" si="236"/>
        <v>0</v>
      </c>
      <c r="BZ112" s="77" t="str">
        <f t="shared" si="237"/>
        <v xml:space="preserve">   </v>
      </c>
      <c r="CA112" s="87">
        <f>IF($A112&gt;BY$58, 0, SUM(BY112:BY$117)*BZ112*BY$133/BY$134+SUM(BY113:BY$117)*(BY$134-BY$133)/BY$134*BZ112)</f>
        <v>0</v>
      </c>
      <c r="CB112" s="87"/>
      <c r="CC112" s="87">
        <f t="shared" si="238"/>
        <v>0</v>
      </c>
      <c r="CD112" s="77" t="str">
        <f t="shared" si="239"/>
        <v xml:space="preserve">   </v>
      </c>
      <c r="CE112" s="87">
        <f>IF($A112&gt;CC$58, 0, SUM(CC112:CC$117)*CD112*CC$133/CC$134+SUM(CC113:CC$117)*(CC$134-CC$133)/CC$134*CD112)</f>
        <v>0</v>
      </c>
      <c r="CF112" s="87"/>
      <c r="CG112" s="87"/>
      <c r="CH112" s="77"/>
      <c r="CI112" s="87"/>
      <c r="CJ112" s="87"/>
      <c r="CK112" s="87">
        <f t="shared" si="240"/>
        <v>0</v>
      </c>
      <c r="CL112" s="77">
        <f t="shared" si="241"/>
        <v>3.8449999999999998E-2</v>
      </c>
      <c r="CM112" s="87">
        <f>IF($A112&gt;CK$58, 0, SUM(CK112:CK$117)*CL112*CK$133/CK$134+SUM(CK113:CK$117)*(CK$134-CK$133)/CK$134*CL112)</f>
        <v>2883750</v>
      </c>
      <c r="CN112" s="87"/>
      <c r="CO112" s="162">
        <f t="shared" si="242"/>
        <v>0</v>
      </c>
      <c r="CP112" s="87">
        <f t="shared" si="243"/>
        <v>2883750</v>
      </c>
      <c r="CQ112" s="32"/>
      <c r="CR112" s="87">
        <f t="shared" si="244"/>
        <v>0</v>
      </c>
      <c r="CS112" s="77" t="str">
        <f t="shared" si="245"/>
        <v xml:space="preserve">   </v>
      </c>
      <c r="CT112" s="87">
        <f>IF($A112&gt;CR$58, 0, SUM(CR112:CR$117)*CS112*CR$133/CR$134+SUM(CR113:CR$117)*(CR$134-CR$133)/CR$134*CS112)</f>
        <v>0</v>
      </c>
      <c r="CZ112" s="165">
        <f t="shared" si="246"/>
        <v>0</v>
      </c>
      <c r="DA112" s="165">
        <f t="shared" si="247"/>
        <v>0</v>
      </c>
      <c r="DB112" s="87"/>
      <c r="DC112" s="87">
        <f t="shared" si="258"/>
        <v>0</v>
      </c>
      <c r="DD112" s="77" t="str">
        <f t="shared" si="248"/>
        <v>---</v>
      </c>
      <c r="DE112" s="87">
        <f t="shared" si="249"/>
        <v>0</v>
      </c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W112" s="165">
        <f t="shared" si="259"/>
        <v>0</v>
      </c>
      <c r="DX112" s="165">
        <f t="shared" si="260"/>
        <v>2883750</v>
      </c>
      <c r="DY112" s="87"/>
      <c r="DZ112" s="53">
        <f t="shared" si="250"/>
        <v>2055</v>
      </c>
      <c r="EA112" s="35">
        <f t="shared" si="251"/>
        <v>0</v>
      </c>
      <c r="EB112" s="35">
        <f t="shared" si="252"/>
        <v>2883750</v>
      </c>
      <c r="EC112" s="35"/>
      <c r="ED112" s="49">
        <f t="shared" si="261"/>
        <v>32</v>
      </c>
    </row>
    <row r="113" spans="1:134" s="33" customFormat="1" outlineLevel="1">
      <c r="A113" s="7">
        <f t="shared" si="253"/>
        <v>2056</v>
      </c>
      <c r="B113" s="151">
        <f>Assumptions!B40</f>
        <v>5.3800000000000001E-2</v>
      </c>
      <c r="C113" s="151">
        <f>Assumptions!C40</f>
        <v>5.3800000000000001E-2</v>
      </c>
      <c r="D113" s="151">
        <f>Assumptions!D40</f>
        <v>3.5000000000000003E-2</v>
      </c>
      <c r="E113" s="151">
        <f>Assumptions!E40</f>
        <v>5.2999999999999999E-2</v>
      </c>
      <c r="F113" s="8"/>
      <c r="G113" s="8"/>
      <c r="H113" s="8"/>
      <c r="I113" s="8"/>
      <c r="J113" s="8"/>
      <c r="K113" s="8"/>
      <c r="L113" s="8"/>
      <c r="M113" s="87">
        <f t="shared" si="212"/>
        <v>0</v>
      </c>
      <c r="N113" s="77" t="str">
        <f t="shared" si="213"/>
        <v xml:space="preserve">   </v>
      </c>
      <c r="O113" s="87">
        <f>IF($A113&gt;M$58, 0, SUM(M113:M$117)*N113*M$133/M$134+SUM(M114:M$117)*(M$134-M$133)/M$134*N113)</f>
        <v>0</v>
      </c>
      <c r="P113" s="35"/>
      <c r="Q113" s="87">
        <f t="shared" si="214"/>
        <v>0</v>
      </c>
      <c r="R113" s="77" t="str">
        <f t="shared" si="215"/>
        <v xml:space="preserve">   </v>
      </c>
      <c r="S113" s="87">
        <f>IF($A113&gt;Q$58, 0, SUM(Q113:Q$117)*R113*Q$133/Q$134+SUM(Q114:Q$117)*(Q$134-Q$133)/Q$134*R113)</f>
        <v>0</v>
      </c>
      <c r="T113" s="35"/>
      <c r="U113" s="35">
        <f t="shared" si="262"/>
        <v>0</v>
      </c>
      <c r="V113" s="35">
        <f t="shared" si="263"/>
        <v>0</v>
      </c>
      <c r="W113" s="35"/>
      <c r="X113" s="87">
        <f t="shared" si="218"/>
        <v>0</v>
      </c>
      <c r="Y113" s="77" t="str">
        <f t="shared" si="219"/>
        <v xml:space="preserve">   </v>
      </c>
      <c r="Z113" s="87">
        <f>IF($A113&gt;X$58, 0, SUM(X113:X$117)*Y113*X$133/X$134+SUM(X114:X$117)*(X$134-X$133)/X$134*Y113)</f>
        <v>0</v>
      </c>
      <c r="AA113" s="87"/>
      <c r="AB113" s="87">
        <f t="shared" si="220"/>
        <v>0</v>
      </c>
      <c r="AC113" s="77" t="str">
        <f t="shared" si="221"/>
        <v xml:space="preserve">   </v>
      </c>
      <c r="AD113" s="87">
        <f>IF($A113&gt;AB$58, 0, SUM(AB113:AB$117)*AC113*AB$133/AB$134+SUM(AB114:AB$117)*(AB$134-AB$133)/AB$134*AC113)</f>
        <v>0</v>
      </c>
      <c r="AE113" s="35"/>
      <c r="AF113" s="87">
        <f t="shared" si="222"/>
        <v>0</v>
      </c>
      <c r="AG113" s="77" t="str">
        <f t="shared" si="223"/>
        <v xml:space="preserve">   </v>
      </c>
      <c r="AH113" s="87">
        <f>IF($A113&gt;AF$58, 0, SUM(AF113:AF$117)*AG113*AF$133/AF$134+SUM(AF114:AF$117)*(AF$134-AF$133)/AF$134*AG113)</f>
        <v>0</v>
      </c>
      <c r="AI113" s="35"/>
      <c r="AJ113" s="87"/>
      <c r="AK113" s="77"/>
      <c r="AL113" s="87"/>
      <c r="AM113" s="35"/>
      <c r="AN113" s="87">
        <f t="shared" si="224"/>
        <v>0</v>
      </c>
      <c r="AO113" s="77" t="str">
        <f>IF($A113&gt;AN$128, "   ", IF(AN$124="VRDB", $D113+$E113+#REF!, IF(AN$124="1M LIBOR", $B113*AN$125+AN$126, IF(AN$124="3M LIBOR", $C113*AN$125+AN$126, IF(AN$124="R-FLOATs", $D113+#REF!+#REF!, 0)))))</f>
        <v xml:space="preserve">   </v>
      </c>
      <c r="AP113" s="87">
        <f>IF($A113&gt;AN$128, 0, SUM(AN113:AN$117)*AO113*AN$133/AN$134+SUM(AN114:AN$117)*AO113*AN$133/AN$134)</f>
        <v>0</v>
      </c>
      <c r="AQ113" s="35"/>
      <c r="AR113" s="87">
        <f t="shared" si="225"/>
        <v>0</v>
      </c>
      <c r="AS113" s="77" t="str">
        <f>IF($A113&gt;AR$128, "   ", IF(AR$124="VRDB", $D113+$E113+#REF!, IF(AR$124="1M LIBOR", $B113*AR$125+AR$126, IF(AR$124="3M LIBOR", $C113*AR$125+AR$126, IF(AR$124="R-FLOATs", $D113+#REF!+#REF!, 0)))))</f>
        <v xml:space="preserve">   </v>
      </c>
      <c r="AT113" s="87">
        <f>IF($A113&gt;AR$128, 0, SUM(AR113:AR$117)*AS113*AR$133/AR$134+SUM(AR114:AR$117)*AS113*AR$133/AR$134)</f>
        <v>0</v>
      </c>
      <c r="AV113" s="35">
        <f t="shared" si="264"/>
        <v>0</v>
      </c>
      <c r="AW113" s="35">
        <f t="shared" si="265"/>
        <v>0</v>
      </c>
      <c r="AX113" s="35"/>
      <c r="AY113" s="87">
        <f t="shared" si="228"/>
        <v>0</v>
      </c>
      <c r="AZ113" s="77" t="str">
        <f t="shared" si="229"/>
        <v xml:space="preserve">   </v>
      </c>
      <c r="BA113" s="87">
        <f>IF($A113&gt;AY$58, 0, SUM(AY113:AY$117)*AZ113*AY$133/AY$134+SUM(AY114:AY$117)*(AY$134-AY$133)/AY$134*AZ113)</f>
        <v>0</v>
      </c>
      <c r="BB113" s="61"/>
      <c r="BC113" s="87">
        <f t="shared" si="230"/>
        <v>0</v>
      </c>
      <c r="BD113" s="77" t="str">
        <f t="shared" si="231"/>
        <v xml:space="preserve">   </v>
      </c>
      <c r="BE113" s="87">
        <f>IF($A113&gt;BC$128, 0, SUM(BC113:BC$117)*BD113*BC$133/BC$134+SUM(BC114:BC$117)*BD113*BC$133/BC$134)</f>
        <v>0</v>
      </c>
      <c r="BF113" s="61"/>
      <c r="BG113" s="87">
        <f t="shared" si="232"/>
        <v>0</v>
      </c>
      <c r="BH113" s="77" t="str">
        <f t="shared" si="233"/>
        <v xml:space="preserve">   </v>
      </c>
      <c r="BI113" s="87">
        <f>IF($A113&gt;BG$128, 0, SUM(BG113:BG$117)*BH113*BG$133/BG$134+SUM(BG114:BG$117)*BH113*BG$133/BG$134)</f>
        <v>0</v>
      </c>
      <c r="BJ113" s="61"/>
      <c r="BK113" s="35">
        <f t="shared" si="254"/>
        <v>0</v>
      </c>
      <c r="BL113" s="35">
        <f t="shared" si="255"/>
        <v>0</v>
      </c>
      <c r="BM113" s="8"/>
      <c r="BN113" s="87">
        <f t="shared" si="234"/>
        <v>0</v>
      </c>
      <c r="BO113" s="77" t="str">
        <f t="shared" si="235"/>
        <v xml:space="preserve">   </v>
      </c>
      <c r="BP113" s="87">
        <f>IF($A113&gt;BN$58, 0, SUM(BN113:BN$117)*BO113*BN$133/BN$134+SUM(BN114:BN$117)*(BN$134-BN$133)/BN$134*BO113)</f>
        <v>0</v>
      </c>
      <c r="BQ113" s="77"/>
      <c r="BR113" s="87"/>
      <c r="BS113" s="77"/>
      <c r="BT113" s="87"/>
      <c r="BU113" s="87"/>
      <c r="BV113" s="35">
        <f t="shared" si="256"/>
        <v>0</v>
      </c>
      <c r="BW113" s="35">
        <f t="shared" si="257"/>
        <v>0</v>
      </c>
      <c r="BX113" s="87"/>
      <c r="BY113" s="87">
        <f t="shared" si="236"/>
        <v>0</v>
      </c>
      <c r="BZ113" s="77" t="str">
        <f t="shared" si="237"/>
        <v xml:space="preserve">   </v>
      </c>
      <c r="CA113" s="87">
        <f>IF($A113&gt;BY$58, 0, SUM(BY113:BY$117)*BZ113*BY$133/BY$134+SUM(BY114:BY$117)*(BY$134-BY$133)/BY$134*BZ113)</f>
        <v>0</v>
      </c>
      <c r="CB113" s="87"/>
      <c r="CC113" s="87">
        <f t="shared" si="238"/>
        <v>0</v>
      </c>
      <c r="CD113" s="77" t="str">
        <f t="shared" si="239"/>
        <v xml:space="preserve">   </v>
      </c>
      <c r="CE113" s="87">
        <f>IF($A113&gt;CC$58, 0, SUM(CC113:CC$117)*CD113*CC$133/CC$134+SUM(CC114:CC$117)*(CC$134-CC$133)/CC$134*CD113)</f>
        <v>0</v>
      </c>
      <c r="CF113" s="87"/>
      <c r="CG113" s="87"/>
      <c r="CH113" s="77"/>
      <c r="CI113" s="87"/>
      <c r="CJ113" s="87"/>
      <c r="CK113" s="87">
        <f t="shared" si="240"/>
        <v>0</v>
      </c>
      <c r="CL113" s="77">
        <f t="shared" si="241"/>
        <v>3.8449999999999998E-2</v>
      </c>
      <c r="CM113" s="87">
        <f>IF($A113&gt;CK$58, 0, SUM(CK113:CK$117)*CL113*CK$133/CK$134+SUM(CK114:CK$117)*(CK$134-CK$133)/CK$134*CL113)</f>
        <v>2883750</v>
      </c>
      <c r="CN113" s="87"/>
      <c r="CO113" s="162">
        <f t="shared" si="242"/>
        <v>0</v>
      </c>
      <c r="CP113" s="87">
        <f t="shared" si="243"/>
        <v>2883750</v>
      </c>
      <c r="CQ113" s="32"/>
      <c r="CR113" s="87">
        <f t="shared" si="244"/>
        <v>0</v>
      </c>
      <c r="CS113" s="77" t="str">
        <f t="shared" si="245"/>
        <v xml:space="preserve">   </v>
      </c>
      <c r="CT113" s="87">
        <f>IF($A113&gt;CR$58, 0, SUM(CR113:CR$117)*CS113*CR$133/CR$134+SUM(CR114:CR$117)*(CR$134-CR$133)/CR$134*CS113)</f>
        <v>0</v>
      </c>
      <c r="CZ113" s="165">
        <f t="shared" si="246"/>
        <v>0</v>
      </c>
      <c r="DA113" s="165">
        <f t="shared" si="247"/>
        <v>0</v>
      </c>
      <c r="DB113" s="87"/>
      <c r="DC113" s="87">
        <f t="shared" si="258"/>
        <v>0</v>
      </c>
      <c r="DD113" s="77" t="str">
        <f t="shared" si="248"/>
        <v>---</v>
      </c>
      <c r="DE113" s="87">
        <f t="shared" si="249"/>
        <v>0</v>
      </c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W113" s="165">
        <f t="shared" si="259"/>
        <v>0</v>
      </c>
      <c r="DX113" s="165">
        <f t="shared" si="260"/>
        <v>2883750</v>
      </c>
      <c r="DY113" s="87"/>
      <c r="DZ113" s="53">
        <f t="shared" si="250"/>
        <v>2056</v>
      </c>
      <c r="EA113" s="35">
        <f t="shared" si="251"/>
        <v>0</v>
      </c>
      <c r="EB113" s="35">
        <f t="shared" si="252"/>
        <v>2883750</v>
      </c>
      <c r="EC113" s="35"/>
      <c r="ED113" s="49">
        <f t="shared" si="261"/>
        <v>33</v>
      </c>
    </row>
    <row r="114" spans="1:134" s="33" customFormat="1" outlineLevel="1">
      <c r="A114" s="7">
        <f t="shared" si="253"/>
        <v>2057</v>
      </c>
      <c r="B114" s="151">
        <f>Assumptions!B41</f>
        <v>5.3800000000000001E-2</v>
      </c>
      <c r="C114" s="151">
        <f>Assumptions!C41</f>
        <v>5.3800000000000001E-2</v>
      </c>
      <c r="D114" s="151">
        <f>Assumptions!D41</f>
        <v>3.5000000000000003E-2</v>
      </c>
      <c r="E114" s="151">
        <f>Assumptions!E41</f>
        <v>5.2999999999999999E-2</v>
      </c>
      <c r="F114" s="8"/>
      <c r="G114" s="8"/>
      <c r="H114" s="8"/>
      <c r="I114" s="8"/>
      <c r="J114" s="8"/>
      <c r="K114" s="8"/>
      <c r="L114" s="8"/>
      <c r="M114" s="87">
        <f t="shared" si="212"/>
        <v>0</v>
      </c>
      <c r="N114" s="77" t="str">
        <f t="shared" si="213"/>
        <v xml:space="preserve">   </v>
      </c>
      <c r="O114" s="87">
        <f>IF($A114&gt;M$58, 0, SUM(M114:M$117)*N114*M$133/M$134+SUM(M115:M$117)*(M$134-M$133)/M$134*N114)</f>
        <v>0</v>
      </c>
      <c r="P114" s="35"/>
      <c r="Q114" s="87">
        <f t="shared" si="214"/>
        <v>0</v>
      </c>
      <c r="R114" s="77" t="str">
        <f t="shared" si="215"/>
        <v xml:space="preserve">   </v>
      </c>
      <c r="S114" s="87">
        <f>IF($A114&gt;Q$58, 0, SUM(Q114:Q$117)*R114*Q$133/Q$134+SUM(Q115:Q$117)*(Q$134-Q$133)/Q$134*R114)</f>
        <v>0</v>
      </c>
      <c r="T114" s="35"/>
      <c r="U114" s="35">
        <f t="shared" si="262"/>
        <v>0</v>
      </c>
      <c r="V114" s="35">
        <f t="shared" si="263"/>
        <v>0</v>
      </c>
      <c r="W114" s="35"/>
      <c r="X114" s="87">
        <f t="shared" si="218"/>
        <v>0</v>
      </c>
      <c r="Y114" s="77" t="str">
        <f t="shared" si="219"/>
        <v xml:space="preserve">   </v>
      </c>
      <c r="Z114" s="87">
        <f>IF($A114&gt;X$58, 0, SUM(X114:X$117)*Y114*X$133/X$134+SUM(X115:X$117)*(X$134-X$133)/X$134*Y114)</f>
        <v>0</v>
      </c>
      <c r="AA114" s="87"/>
      <c r="AB114" s="87">
        <f t="shared" si="220"/>
        <v>0</v>
      </c>
      <c r="AC114" s="77" t="str">
        <f t="shared" si="221"/>
        <v xml:space="preserve">   </v>
      </c>
      <c r="AD114" s="87">
        <f>IF($A114&gt;AB$58, 0, SUM(AB114:AB$117)*AC114*AB$133/AB$134+SUM(AB115:AB$117)*(AB$134-AB$133)/AB$134*AC114)</f>
        <v>0</v>
      </c>
      <c r="AE114" s="35"/>
      <c r="AF114" s="87">
        <f t="shared" si="222"/>
        <v>0</v>
      </c>
      <c r="AG114" s="77" t="str">
        <f t="shared" si="223"/>
        <v xml:space="preserve">   </v>
      </c>
      <c r="AH114" s="87">
        <f>IF($A114&gt;AF$58, 0, SUM(AF114:AF$117)*AG114*AF$133/AF$134+SUM(AF115:AF$117)*(AF$134-AF$133)/AF$134*AG114)</f>
        <v>0</v>
      </c>
      <c r="AI114" s="35"/>
      <c r="AJ114" s="87"/>
      <c r="AK114" s="77"/>
      <c r="AL114" s="87"/>
      <c r="AM114" s="35"/>
      <c r="AN114" s="87">
        <f t="shared" si="224"/>
        <v>0</v>
      </c>
      <c r="AO114" s="77" t="str">
        <f>IF($A114&gt;AN$128, "   ", IF(AN$124="VRDB", $D114+$E114+#REF!, IF(AN$124="1M LIBOR", $B114*AN$125+AN$126, IF(AN$124="3M LIBOR", $C114*AN$125+AN$126, IF(AN$124="R-FLOATs", $D114+#REF!+#REF!, 0)))))</f>
        <v xml:space="preserve">   </v>
      </c>
      <c r="AP114" s="87">
        <f>IF($A114&gt;AN$128, 0, SUM(AN114:AN$117)*AO114*AN$133/AN$134+SUM(AN115:AN$117)*AO114*AN$133/AN$134)</f>
        <v>0</v>
      </c>
      <c r="AQ114" s="35"/>
      <c r="AR114" s="87">
        <f t="shared" si="225"/>
        <v>0</v>
      </c>
      <c r="AS114" s="77" t="str">
        <f>IF($A114&gt;AR$128, "   ", IF(AR$124="VRDB", $D114+$E114+#REF!, IF(AR$124="1M LIBOR", $B114*AR$125+AR$126, IF(AR$124="3M LIBOR", $C114*AR$125+AR$126, IF(AR$124="R-FLOATs", $D114+#REF!+#REF!, 0)))))</f>
        <v xml:space="preserve">   </v>
      </c>
      <c r="AT114" s="87">
        <f>IF($A114&gt;AR$128, 0, SUM(AR114:AR$117)*AS114*AR$133/AR$134+SUM(AR115:AR$117)*AS114*AR$133/AR$134)</f>
        <v>0</v>
      </c>
      <c r="AV114" s="35">
        <f t="shared" si="264"/>
        <v>0</v>
      </c>
      <c r="AW114" s="35">
        <f t="shared" si="265"/>
        <v>0</v>
      </c>
      <c r="AX114" s="35"/>
      <c r="AY114" s="87">
        <f t="shared" si="228"/>
        <v>0</v>
      </c>
      <c r="AZ114" s="77" t="str">
        <f t="shared" si="229"/>
        <v xml:space="preserve">   </v>
      </c>
      <c r="BA114" s="87">
        <f>IF($A114&gt;AY$58, 0, SUM(AY114:AY$117)*AZ114*AY$133/AY$134+SUM(AY115:AY$117)*(AY$134-AY$133)/AY$134*AZ114)</f>
        <v>0</v>
      </c>
      <c r="BB114" s="61"/>
      <c r="BC114" s="87">
        <f t="shared" si="230"/>
        <v>0</v>
      </c>
      <c r="BD114" s="77" t="str">
        <f t="shared" si="231"/>
        <v xml:space="preserve">   </v>
      </c>
      <c r="BE114" s="87">
        <f>IF($A114&gt;BC$128, 0, SUM(BC114:BC$117)*BD114*BC$133/BC$134+SUM(BC115:BC$117)*BD114*BC$133/BC$134)</f>
        <v>0</v>
      </c>
      <c r="BF114" s="61"/>
      <c r="BG114" s="87">
        <f t="shared" si="232"/>
        <v>0</v>
      </c>
      <c r="BH114" s="77" t="str">
        <f t="shared" si="233"/>
        <v xml:space="preserve">   </v>
      </c>
      <c r="BI114" s="87">
        <f>IF($A114&gt;BG$128, 0, SUM(BG114:BG$117)*BH114*BG$133/BG$134+SUM(BG115:BG$117)*BH114*BG$133/BG$134)</f>
        <v>0</v>
      </c>
      <c r="BJ114" s="61"/>
      <c r="BK114" s="35">
        <f t="shared" si="254"/>
        <v>0</v>
      </c>
      <c r="BL114" s="35">
        <f t="shared" si="255"/>
        <v>0</v>
      </c>
      <c r="BM114" s="8"/>
      <c r="BN114" s="87">
        <f t="shared" si="234"/>
        <v>0</v>
      </c>
      <c r="BO114" s="77" t="str">
        <f t="shared" si="235"/>
        <v xml:space="preserve">   </v>
      </c>
      <c r="BP114" s="87">
        <f>IF($A114&gt;BN$58, 0, SUM(BN114:BN$117)*BO114*BN$133/BN$134+SUM(BN115:BN$117)*(BN$134-BN$133)/BN$134*BO114)</f>
        <v>0</v>
      </c>
      <c r="BQ114" s="77"/>
      <c r="BR114" s="87"/>
      <c r="BS114" s="77"/>
      <c r="BT114" s="87"/>
      <c r="BU114" s="87"/>
      <c r="BV114" s="35">
        <f t="shared" si="256"/>
        <v>0</v>
      </c>
      <c r="BW114" s="35">
        <f t="shared" si="257"/>
        <v>0</v>
      </c>
      <c r="BX114" s="87"/>
      <c r="BY114" s="87">
        <f t="shared" si="236"/>
        <v>0</v>
      </c>
      <c r="BZ114" s="77" t="str">
        <f t="shared" si="237"/>
        <v xml:space="preserve">   </v>
      </c>
      <c r="CA114" s="87">
        <f>IF($A114&gt;BY$58, 0, SUM(BY114:BY$117)*BZ114*BY$133/BY$134+SUM(BY115:BY$117)*(BY$134-BY$133)/BY$134*BZ114)</f>
        <v>0</v>
      </c>
      <c r="CB114" s="87"/>
      <c r="CC114" s="87">
        <f t="shared" si="238"/>
        <v>0</v>
      </c>
      <c r="CD114" s="77" t="str">
        <f t="shared" si="239"/>
        <v xml:space="preserve">   </v>
      </c>
      <c r="CE114" s="87">
        <f>IF($A114&gt;CC$58, 0, SUM(CC114:CC$117)*CD114*CC$133/CC$134+SUM(CC115:CC$117)*(CC$134-CC$133)/CC$134*CD114)</f>
        <v>0</v>
      </c>
      <c r="CF114" s="87"/>
      <c r="CG114" s="87"/>
      <c r="CH114" s="77"/>
      <c r="CI114" s="87"/>
      <c r="CJ114" s="87"/>
      <c r="CK114" s="87">
        <f t="shared" si="240"/>
        <v>75000000</v>
      </c>
      <c r="CL114" s="77">
        <f t="shared" si="241"/>
        <v>3.8449999999999998E-2</v>
      </c>
      <c r="CM114" s="87">
        <f>IF($A114&gt;CK$58, 0, SUM(CK114:CK$117)*CL114*CK$133/CK$134+SUM(CK115:CK$117)*(CK$134-CK$133)/CK$134*CL114)</f>
        <v>720937.5</v>
      </c>
      <c r="CN114" s="87"/>
      <c r="CO114" s="162">
        <f t="shared" si="242"/>
        <v>75000000</v>
      </c>
      <c r="CP114" s="87">
        <f t="shared" si="243"/>
        <v>720937.5</v>
      </c>
      <c r="CQ114" s="32"/>
      <c r="CR114" s="87">
        <f t="shared" si="244"/>
        <v>0</v>
      </c>
      <c r="CS114" s="77" t="str">
        <f t="shared" si="245"/>
        <v xml:space="preserve">   </v>
      </c>
      <c r="CT114" s="87">
        <f>IF($A114&gt;CR$58, 0, SUM(CR114:CR$117)*CS114*CR$133/CR$134+SUM(CR115:CR$117)*(CR$134-CR$133)/CR$134*CS114)</f>
        <v>0</v>
      </c>
      <c r="CZ114" s="165">
        <f t="shared" si="246"/>
        <v>0</v>
      </c>
      <c r="DA114" s="165">
        <f t="shared" si="247"/>
        <v>0</v>
      </c>
      <c r="DB114" s="87"/>
      <c r="DC114" s="87">
        <f t="shared" si="258"/>
        <v>0</v>
      </c>
      <c r="DD114" s="77" t="str">
        <f t="shared" si="248"/>
        <v>---</v>
      </c>
      <c r="DE114" s="87">
        <f t="shared" si="249"/>
        <v>0</v>
      </c>
      <c r="DF114" s="87"/>
      <c r="DG114" s="87"/>
      <c r="DH114" s="87"/>
      <c r="DI114" s="87"/>
      <c r="DJ114" s="87"/>
      <c r="DK114" s="87"/>
      <c r="DL114" s="87"/>
      <c r="DM114" s="87"/>
      <c r="DN114" s="87"/>
      <c r="DO114" s="87"/>
      <c r="DP114" s="87"/>
      <c r="DQ114" s="87"/>
      <c r="DR114" s="87"/>
      <c r="DS114" s="87"/>
      <c r="DT114" s="87"/>
      <c r="DU114" s="87"/>
      <c r="DW114" s="165">
        <f t="shared" si="259"/>
        <v>75000000</v>
      </c>
      <c r="DX114" s="165">
        <f t="shared" si="260"/>
        <v>720937.5</v>
      </c>
      <c r="DY114" s="87"/>
      <c r="DZ114" s="53">
        <f t="shared" si="250"/>
        <v>2057</v>
      </c>
      <c r="EA114" s="35">
        <f t="shared" si="251"/>
        <v>75000000</v>
      </c>
      <c r="EB114" s="35">
        <f t="shared" si="252"/>
        <v>720937.5</v>
      </c>
      <c r="EC114" s="35"/>
      <c r="ED114" s="49">
        <f t="shared" si="261"/>
        <v>34</v>
      </c>
    </row>
    <row r="115" spans="1:134" s="33" customFormat="1" outlineLevel="1">
      <c r="A115" s="7">
        <f t="shared" si="253"/>
        <v>2058</v>
      </c>
      <c r="B115" s="151">
        <f>Assumptions!B42</f>
        <v>5.3800000000000001E-2</v>
      </c>
      <c r="C115" s="151">
        <f>Assumptions!C42</f>
        <v>5.3800000000000001E-2</v>
      </c>
      <c r="D115" s="151">
        <f>Assumptions!D42</f>
        <v>3.5000000000000003E-2</v>
      </c>
      <c r="E115" s="151">
        <f>Assumptions!E42</f>
        <v>5.2999999999999999E-2</v>
      </c>
      <c r="F115" s="8"/>
      <c r="G115" s="8"/>
      <c r="H115" s="8"/>
      <c r="I115" s="8"/>
      <c r="J115" s="8"/>
      <c r="K115" s="8"/>
      <c r="L115" s="8"/>
      <c r="M115" s="87">
        <f t="shared" si="212"/>
        <v>0</v>
      </c>
      <c r="N115" s="77" t="str">
        <f t="shared" si="213"/>
        <v xml:space="preserve">   </v>
      </c>
      <c r="O115" s="87">
        <f>IF($A115&gt;M$58, 0, SUM(M115:M$117)*N115*M$133/M$134+SUM(M116:M$117)*(M$134-M$133)/M$134*N115)</f>
        <v>0</v>
      </c>
      <c r="P115" s="35"/>
      <c r="Q115" s="87">
        <f t="shared" si="214"/>
        <v>0</v>
      </c>
      <c r="R115" s="77" t="str">
        <f t="shared" si="215"/>
        <v xml:space="preserve">   </v>
      </c>
      <c r="S115" s="87">
        <f>IF($A115&gt;Q$58, 0, SUM(Q115:Q$117)*R115*Q$133/Q$134+SUM(Q116:Q$117)*(Q$134-Q$133)/Q$134*R115)</f>
        <v>0</v>
      </c>
      <c r="T115" s="35"/>
      <c r="U115" s="35">
        <f t="shared" si="262"/>
        <v>0</v>
      </c>
      <c r="V115" s="35">
        <f t="shared" si="263"/>
        <v>0</v>
      </c>
      <c r="W115" s="35"/>
      <c r="X115" s="87">
        <f t="shared" si="218"/>
        <v>0</v>
      </c>
      <c r="Y115" s="77" t="str">
        <f t="shared" si="219"/>
        <v xml:space="preserve">   </v>
      </c>
      <c r="Z115" s="87">
        <f>IF($A115&gt;X$58, 0, SUM(X115:X$117)*Y115*X$133/X$134+SUM(X116:X$117)*(X$134-X$133)/X$134*Y115)</f>
        <v>0</v>
      </c>
      <c r="AA115" s="87"/>
      <c r="AB115" s="87">
        <f t="shared" si="220"/>
        <v>0</v>
      </c>
      <c r="AC115" s="77" t="str">
        <f t="shared" si="221"/>
        <v xml:space="preserve">   </v>
      </c>
      <c r="AD115" s="87">
        <f>IF($A115&gt;AB$58, 0, SUM(AB115:AB$117)*AC115*AB$133/AB$134+SUM(AB116:AB$117)*(AB$134-AB$133)/AB$134*AC115)</f>
        <v>0</v>
      </c>
      <c r="AE115" s="35"/>
      <c r="AF115" s="87">
        <f t="shared" si="222"/>
        <v>0</v>
      </c>
      <c r="AG115" s="77" t="str">
        <f t="shared" si="223"/>
        <v xml:space="preserve">   </v>
      </c>
      <c r="AH115" s="87">
        <f>IF($A115&gt;AF$58, 0, SUM(AF115:AF$117)*AG115*AF$133/AF$134+SUM(AF116:AF$117)*(AF$134-AF$133)/AF$134*AG115)</f>
        <v>0</v>
      </c>
      <c r="AI115" s="35"/>
      <c r="AJ115" s="87"/>
      <c r="AK115" s="77"/>
      <c r="AL115" s="87"/>
      <c r="AM115" s="35"/>
      <c r="AN115" s="87">
        <f t="shared" si="224"/>
        <v>0</v>
      </c>
      <c r="AO115" s="77" t="str">
        <f>IF($A115&gt;AN$128, "   ", IF(AN$124="VRDB", $D115+$E115+#REF!, IF(AN$124="1M LIBOR", $B115*AN$125+AN$126, IF(AN$124="3M LIBOR", $C115*AN$125+AN$126, IF(AN$124="R-FLOATs", $D115+#REF!+#REF!, 0)))))</f>
        <v xml:space="preserve">   </v>
      </c>
      <c r="AP115" s="87">
        <f>IF($A115&gt;AN$128, 0, SUM(AN115:AN$117)*AO115*AN$133/AN$134+SUM(AN116:AN$117)*AO115*AN$133/AN$134)</f>
        <v>0</v>
      </c>
      <c r="AQ115" s="35"/>
      <c r="AR115" s="87">
        <f t="shared" si="225"/>
        <v>0</v>
      </c>
      <c r="AS115" s="77" t="str">
        <f>IF($A115&gt;AR$128, "   ", IF(AR$124="VRDB", $D115+$E115+#REF!, IF(AR$124="1M LIBOR", $B115*AR$125+AR$126, IF(AR$124="3M LIBOR", $C115*AR$125+AR$126, IF(AR$124="R-FLOATs", $D115+#REF!+#REF!, 0)))))</f>
        <v xml:space="preserve">   </v>
      </c>
      <c r="AT115" s="87">
        <f>IF($A115&gt;AR$128, 0, SUM(AR115:AR$117)*AS115*AR$133/AR$134+SUM(AR116:AR$117)*AS115*AR$133/AR$134)</f>
        <v>0</v>
      </c>
      <c r="AV115" s="35">
        <f t="shared" si="264"/>
        <v>0</v>
      </c>
      <c r="AW115" s="35">
        <f t="shared" si="265"/>
        <v>0</v>
      </c>
      <c r="AX115" s="35"/>
      <c r="AY115" s="87">
        <f t="shared" si="228"/>
        <v>0</v>
      </c>
      <c r="AZ115" s="77" t="str">
        <f t="shared" si="229"/>
        <v xml:space="preserve">   </v>
      </c>
      <c r="BA115" s="87">
        <f>IF($A115&gt;AY$58, 0, SUM(AY115:AY$117)*AZ115*AY$133/AY$134+SUM(AY116:AY$117)*(AY$134-AY$133)/AY$134*AZ115)</f>
        <v>0</v>
      </c>
      <c r="BB115" s="61"/>
      <c r="BC115" s="87">
        <f t="shared" si="230"/>
        <v>0</v>
      </c>
      <c r="BD115" s="77" t="str">
        <f t="shared" si="231"/>
        <v xml:space="preserve">   </v>
      </c>
      <c r="BE115" s="87">
        <f>IF($A115&gt;BC$128, 0, SUM(BC115:BC$117)*BD115*BC$133/BC$134+SUM(BC116:BC$117)*BD115*BC$133/BC$134)</f>
        <v>0</v>
      </c>
      <c r="BF115" s="61"/>
      <c r="BG115" s="87">
        <f t="shared" si="232"/>
        <v>0</v>
      </c>
      <c r="BH115" s="77" t="str">
        <f t="shared" si="233"/>
        <v xml:space="preserve">   </v>
      </c>
      <c r="BI115" s="87">
        <f>IF($A115&gt;BG$128, 0, SUM(BG115:BG$117)*BH115*BG$133/BG$134+SUM(BG116:BG$117)*BH115*BG$133/BG$134)</f>
        <v>0</v>
      </c>
      <c r="BJ115" s="61"/>
      <c r="BK115" s="35">
        <f t="shared" si="254"/>
        <v>0</v>
      </c>
      <c r="BL115" s="35">
        <f t="shared" si="255"/>
        <v>0</v>
      </c>
      <c r="BM115" s="8"/>
      <c r="BN115" s="87">
        <f t="shared" si="234"/>
        <v>0</v>
      </c>
      <c r="BO115" s="77" t="str">
        <f t="shared" si="235"/>
        <v xml:space="preserve">   </v>
      </c>
      <c r="BP115" s="87">
        <f>IF($A115&gt;BN$58, 0, SUM(BN115:BN$117)*BO115*BN$133/BN$134+SUM(BN116:BN$117)*(BN$134-BN$133)/BN$134*BO115)</f>
        <v>0</v>
      </c>
      <c r="BQ115" s="77"/>
      <c r="BR115" s="87"/>
      <c r="BS115" s="77"/>
      <c r="BT115" s="87"/>
      <c r="BU115" s="87"/>
      <c r="BV115" s="35">
        <f t="shared" si="256"/>
        <v>0</v>
      </c>
      <c r="BW115" s="35">
        <f t="shared" si="257"/>
        <v>0</v>
      </c>
      <c r="BX115" s="87"/>
      <c r="BY115" s="87">
        <f t="shared" si="236"/>
        <v>0</v>
      </c>
      <c r="BZ115" s="77" t="str">
        <f t="shared" si="237"/>
        <v xml:space="preserve">   </v>
      </c>
      <c r="CA115" s="87">
        <f>IF($A115&gt;BY$58, 0, SUM(BY115:BY$117)*BZ115*BY$133/BY$134+SUM(BY116:BY$117)*(BY$134-BY$133)/BY$134*BZ115)</f>
        <v>0</v>
      </c>
      <c r="CB115" s="87"/>
      <c r="CC115" s="87">
        <f t="shared" si="238"/>
        <v>0</v>
      </c>
      <c r="CD115" s="77" t="str">
        <f t="shared" si="239"/>
        <v xml:space="preserve">   </v>
      </c>
      <c r="CE115" s="87">
        <f>IF($A115&gt;CC$58, 0, SUM(CC115:CC$117)*CD115*CC$133/CC$134+SUM(CC116:CC$117)*(CC$134-CC$133)/CC$134*CD115)</f>
        <v>0</v>
      </c>
      <c r="CF115" s="87"/>
      <c r="CG115" s="87"/>
      <c r="CH115" s="77"/>
      <c r="CI115" s="87"/>
      <c r="CJ115" s="87"/>
      <c r="CK115" s="87">
        <f t="shared" si="240"/>
        <v>0</v>
      </c>
      <c r="CL115" s="77" t="str">
        <f t="shared" si="241"/>
        <v xml:space="preserve">   </v>
      </c>
      <c r="CM115" s="87">
        <f>IF($A115&gt;CK$58, 0, SUM(CK115:CK$117)*CL115*CK$133/CK$134+SUM(CK116:CK$117)*(CK$134-CK$133)/CK$134*CL115)</f>
        <v>0</v>
      </c>
      <c r="CN115" s="87"/>
      <c r="CO115" s="162">
        <f t="shared" si="242"/>
        <v>0</v>
      </c>
      <c r="CP115" s="87">
        <f t="shared" si="243"/>
        <v>0</v>
      </c>
      <c r="CQ115" s="32"/>
      <c r="CR115" s="87">
        <f t="shared" si="244"/>
        <v>0</v>
      </c>
      <c r="CS115" s="77" t="str">
        <f t="shared" si="245"/>
        <v xml:space="preserve">   </v>
      </c>
      <c r="CT115" s="87">
        <f>IF($A115&gt;CR$58, 0, SUM(CR115:CR$117)*CS115*CR$133/CR$134+SUM(CR116:CR$117)*(CR$134-CR$133)/CR$134*CS115)</f>
        <v>0</v>
      </c>
      <c r="CZ115" s="165">
        <f t="shared" si="246"/>
        <v>0</v>
      </c>
      <c r="DA115" s="165">
        <f t="shared" si="247"/>
        <v>0</v>
      </c>
      <c r="DB115" s="87"/>
      <c r="DC115" s="87">
        <f t="shared" si="258"/>
        <v>0</v>
      </c>
      <c r="DD115" s="77" t="str">
        <f t="shared" si="248"/>
        <v>---</v>
      </c>
      <c r="DE115" s="87">
        <f t="shared" si="249"/>
        <v>0</v>
      </c>
      <c r="DF115" s="87"/>
      <c r="DG115" s="87"/>
      <c r="DH115" s="87"/>
      <c r="DI115" s="87"/>
      <c r="DJ115" s="87"/>
      <c r="DK115" s="87"/>
      <c r="DL115" s="87"/>
      <c r="DM115" s="87"/>
      <c r="DN115" s="87"/>
      <c r="DO115" s="87"/>
      <c r="DP115" s="87"/>
      <c r="DQ115" s="87"/>
      <c r="DR115" s="87"/>
      <c r="DS115" s="87"/>
      <c r="DT115" s="87"/>
      <c r="DU115" s="87"/>
      <c r="DW115" s="165">
        <f t="shared" si="259"/>
        <v>0</v>
      </c>
      <c r="DX115" s="165">
        <f t="shared" si="260"/>
        <v>0</v>
      </c>
      <c r="DY115" s="87"/>
      <c r="DZ115" s="53">
        <f t="shared" si="250"/>
        <v>2058</v>
      </c>
      <c r="EA115" s="35">
        <f t="shared" si="251"/>
        <v>0</v>
      </c>
      <c r="EB115" s="35">
        <f t="shared" si="252"/>
        <v>0</v>
      </c>
      <c r="EC115" s="35"/>
      <c r="ED115" s="49">
        <f t="shared" si="261"/>
        <v>35</v>
      </c>
    </row>
    <row r="116" spans="1:134" s="33" customFormat="1" outlineLevel="1">
      <c r="A116" s="7">
        <f t="shared" si="253"/>
        <v>2059</v>
      </c>
      <c r="B116" s="151">
        <f>Assumptions!B43</f>
        <v>5.3800000000000001E-2</v>
      </c>
      <c r="C116" s="151">
        <f>Assumptions!C43</f>
        <v>5.3800000000000001E-2</v>
      </c>
      <c r="D116" s="151">
        <f>Assumptions!D43</f>
        <v>3.5000000000000003E-2</v>
      </c>
      <c r="E116" s="151">
        <f>Assumptions!E43</f>
        <v>5.2999999999999999E-2</v>
      </c>
      <c r="F116" s="8"/>
      <c r="G116" s="8"/>
      <c r="H116" s="8"/>
      <c r="I116" s="8"/>
      <c r="J116" s="8"/>
      <c r="K116" s="8"/>
      <c r="L116" s="8"/>
      <c r="M116" s="87">
        <f t="shared" si="212"/>
        <v>0</v>
      </c>
      <c r="N116" s="77" t="str">
        <f t="shared" si="213"/>
        <v xml:space="preserve">   </v>
      </c>
      <c r="O116" s="87">
        <f>IF($A116&gt;M$58, 0, SUM(M116:M$117)*N116*M$133/M$134+SUM(M117:M$117)*(M$134-M$133)/M$134*N116)</f>
        <v>0</v>
      </c>
      <c r="P116" s="35"/>
      <c r="Q116" s="87">
        <f t="shared" si="214"/>
        <v>0</v>
      </c>
      <c r="R116" s="77" t="str">
        <f t="shared" si="215"/>
        <v xml:space="preserve">   </v>
      </c>
      <c r="S116" s="87">
        <f>IF($A116&gt;Q$58, 0, SUM(Q116:Q$117)*R116*Q$133/Q$134+SUM(Q117:Q$117)*(Q$134-Q$133)/Q$134*R116)</f>
        <v>0</v>
      </c>
      <c r="T116" s="35"/>
      <c r="U116" s="35">
        <f t="shared" si="262"/>
        <v>0</v>
      </c>
      <c r="V116" s="35">
        <f t="shared" si="263"/>
        <v>0</v>
      </c>
      <c r="W116" s="35"/>
      <c r="X116" s="87">
        <f t="shared" si="218"/>
        <v>0</v>
      </c>
      <c r="Y116" s="77" t="str">
        <f t="shared" si="219"/>
        <v xml:space="preserve">   </v>
      </c>
      <c r="Z116" s="87">
        <f>IF($A116&gt;X$58, 0, SUM(X116:X$117)*Y116*X$133/X$134+SUM(X117:X$117)*(X$134-X$133)/X$134*Y116)</f>
        <v>0</v>
      </c>
      <c r="AA116" s="87"/>
      <c r="AB116" s="87">
        <f t="shared" si="220"/>
        <v>0</v>
      </c>
      <c r="AC116" s="77" t="str">
        <f t="shared" si="221"/>
        <v xml:space="preserve">   </v>
      </c>
      <c r="AD116" s="87">
        <f>IF($A116&gt;AB$58, 0, SUM(AB116:AB$117)*AC116*AB$133/AB$134+SUM(AB117:AB$117)*(AB$134-AB$133)/AB$134*AC116)</f>
        <v>0</v>
      </c>
      <c r="AE116" s="35"/>
      <c r="AF116" s="87">
        <f t="shared" si="222"/>
        <v>0</v>
      </c>
      <c r="AG116" s="77" t="str">
        <f t="shared" si="223"/>
        <v xml:space="preserve">   </v>
      </c>
      <c r="AH116" s="87">
        <f>IF($A116&gt;AF$58, 0, SUM(AF116:AF$117)*AG116*AF$133/AF$134+SUM(AF117:AF$117)*(AF$134-AF$133)/AF$134*AG116)</f>
        <v>0</v>
      </c>
      <c r="AI116" s="35"/>
      <c r="AJ116" s="87"/>
      <c r="AK116" s="77"/>
      <c r="AL116" s="87"/>
      <c r="AM116" s="35"/>
      <c r="AN116" s="87">
        <f t="shared" si="224"/>
        <v>0</v>
      </c>
      <c r="AO116" s="77" t="str">
        <f>IF($A116&gt;AN$128, "   ", IF(AN$124="VRDB", $D116+$E116+#REF!, IF(AN$124="1M LIBOR", $B116*AN$125+AN$126, IF(AN$124="3M LIBOR", $C116*AN$125+AN$126, IF(AN$124="R-FLOATs", $D116+#REF!+#REF!, 0)))))</f>
        <v xml:space="preserve">   </v>
      </c>
      <c r="AP116" s="87">
        <f>IF($A116&gt;AN$128, 0, SUM(AN116:AN$117)*AO116*AN$133/AN$134+SUM(AN117:AN$117)*AO116*AN$133/AN$134)</f>
        <v>0</v>
      </c>
      <c r="AQ116" s="35"/>
      <c r="AR116" s="87">
        <f t="shared" si="225"/>
        <v>0</v>
      </c>
      <c r="AS116" s="77" t="str">
        <f>IF($A116&gt;AR$128, "   ", IF(AR$124="VRDB", $D116+$E116+#REF!, IF(AR$124="1M LIBOR", $B116*AR$125+AR$126, IF(AR$124="3M LIBOR", $C116*AR$125+AR$126, IF(AR$124="R-FLOATs", $D116+#REF!+#REF!, 0)))))</f>
        <v xml:space="preserve">   </v>
      </c>
      <c r="AT116" s="87">
        <f>IF($A116&gt;AR$128, 0, SUM(AR116:AR$117)*AS116*AR$133/AR$134+SUM(AR117:AR$117)*AS116*AR$133/AR$134)</f>
        <v>0</v>
      </c>
      <c r="AV116" s="35">
        <f t="shared" si="264"/>
        <v>0</v>
      </c>
      <c r="AW116" s="35">
        <f t="shared" si="265"/>
        <v>0</v>
      </c>
      <c r="AX116" s="35"/>
      <c r="AY116" s="87">
        <f t="shared" si="228"/>
        <v>0</v>
      </c>
      <c r="AZ116" s="77" t="str">
        <f t="shared" si="229"/>
        <v xml:space="preserve">   </v>
      </c>
      <c r="BA116" s="87">
        <f>IF($A116&gt;AY$58, 0, SUM(AY116:AY$117)*AZ116*AY$133/AY$134+SUM(AY117:AY$117)*(AY$134-AY$133)/AY$134*AZ116)</f>
        <v>0</v>
      </c>
      <c r="BB116" s="61"/>
      <c r="BC116" s="87">
        <f t="shared" si="230"/>
        <v>0</v>
      </c>
      <c r="BD116" s="77" t="str">
        <f t="shared" si="231"/>
        <v xml:space="preserve">   </v>
      </c>
      <c r="BE116" s="87">
        <f>IF($A116&gt;BC$128, 0, SUM(BC116:BC$117)*BD116*BC$133/BC$134+SUM(BC117:BC$117)*BD116*BC$133/BC$134)</f>
        <v>0</v>
      </c>
      <c r="BF116" s="61"/>
      <c r="BG116" s="87">
        <f t="shared" si="232"/>
        <v>0</v>
      </c>
      <c r="BH116" s="77" t="str">
        <f t="shared" si="233"/>
        <v xml:space="preserve">   </v>
      </c>
      <c r="BI116" s="87">
        <f>IF($A116&gt;BG$128, 0, SUM(BG116:BG$117)*BH116*BG$133/BG$134+SUM(BG117:BG$117)*BH116*BG$133/BG$134)</f>
        <v>0</v>
      </c>
      <c r="BJ116" s="61"/>
      <c r="BK116" s="35">
        <f t="shared" si="254"/>
        <v>0</v>
      </c>
      <c r="BL116" s="35">
        <f t="shared" si="255"/>
        <v>0</v>
      </c>
      <c r="BM116" s="8"/>
      <c r="BN116" s="87">
        <f t="shared" si="234"/>
        <v>0</v>
      </c>
      <c r="BO116" s="77" t="str">
        <f t="shared" si="235"/>
        <v xml:space="preserve">   </v>
      </c>
      <c r="BP116" s="87">
        <f>IF($A116&gt;BN$58, 0, SUM(BN116:BN$117)*BO116*BN$133/BN$134+SUM(BN117:BN$117)*(BN$134-BN$133)/BN$134*BO116)</f>
        <v>0</v>
      </c>
      <c r="BQ116" s="77"/>
      <c r="BR116" s="87"/>
      <c r="BS116" s="77"/>
      <c r="BT116" s="87"/>
      <c r="BU116" s="87"/>
      <c r="BV116" s="35">
        <f t="shared" si="256"/>
        <v>0</v>
      </c>
      <c r="BW116" s="35">
        <f t="shared" si="257"/>
        <v>0</v>
      </c>
      <c r="BX116" s="87"/>
      <c r="BY116" s="87">
        <f t="shared" si="236"/>
        <v>0</v>
      </c>
      <c r="BZ116" s="77" t="str">
        <f t="shared" si="237"/>
        <v xml:space="preserve">   </v>
      </c>
      <c r="CA116" s="87">
        <f>IF($A116&gt;BY$58, 0, SUM(BY116:BY$117)*BZ116*BY$133/BY$134+SUM(BY117:BY$117)*(BY$134-BY$133)/BY$134*BZ116)</f>
        <v>0</v>
      </c>
      <c r="CB116" s="87"/>
      <c r="CC116" s="87">
        <f t="shared" si="238"/>
        <v>0</v>
      </c>
      <c r="CD116" s="77" t="str">
        <f t="shared" si="239"/>
        <v xml:space="preserve">   </v>
      </c>
      <c r="CE116" s="87">
        <f>IF($A116&gt;CC$58, 0, SUM(CC116:CC$117)*CD116*CC$133/CC$134+SUM(CC117:CC$117)*(CC$134-CC$133)/CC$134*CD116)</f>
        <v>0</v>
      </c>
      <c r="CF116" s="87"/>
      <c r="CG116" s="87"/>
      <c r="CH116" s="77"/>
      <c r="CI116" s="87"/>
      <c r="CJ116" s="87"/>
      <c r="CK116" s="87">
        <f t="shared" si="240"/>
        <v>0</v>
      </c>
      <c r="CL116" s="77" t="str">
        <f t="shared" si="241"/>
        <v xml:space="preserve">   </v>
      </c>
      <c r="CM116" s="87">
        <f>IF($A116&gt;CK$58, 0, SUM(CK116:CK$117)*CL116*CK$133/CK$134+SUM(CK117:CK$117)*(CK$134-CK$133)/CK$134*CL116)</f>
        <v>0</v>
      </c>
      <c r="CN116" s="87"/>
      <c r="CO116" s="162">
        <f t="shared" si="242"/>
        <v>0</v>
      </c>
      <c r="CP116" s="87">
        <f t="shared" si="243"/>
        <v>0</v>
      </c>
      <c r="CQ116" s="32"/>
      <c r="CR116" s="87">
        <f t="shared" si="244"/>
        <v>0</v>
      </c>
      <c r="CS116" s="77" t="str">
        <f t="shared" si="245"/>
        <v xml:space="preserve">   </v>
      </c>
      <c r="CT116" s="87">
        <f>IF($A116&gt;CR$58, 0, SUM(CR116:CR$117)*CS116*CR$133/CR$134+SUM(CR117:CR$117)*(CR$134-CR$133)/CR$134*CS116)</f>
        <v>0</v>
      </c>
      <c r="CZ116" s="165">
        <f t="shared" si="246"/>
        <v>0</v>
      </c>
      <c r="DA116" s="165">
        <f t="shared" si="247"/>
        <v>0</v>
      </c>
      <c r="DB116" s="87"/>
      <c r="DC116" s="87">
        <f t="shared" si="258"/>
        <v>0</v>
      </c>
      <c r="DD116" s="77" t="str">
        <f t="shared" si="248"/>
        <v>---</v>
      </c>
      <c r="DE116" s="87">
        <f t="shared" si="249"/>
        <v>0</v>
      </c>
      <c r="DF116" s="87"/>
      <c r="DG116" s="87"/>
      <c r="DH116" s="87"/>
      <c r="DI116" s="87"/>
      <c r="DJ116" s="87"/>
      <c r="DK116" s="87"/>
      <c r="DL116" s="87"/>
      <c r="DM116" s="87"/>
      <c r="DN116" s="87"/>
      <c r="DO116" s="87"/>
      <c r="DP116" s="87"/>
      <c r="DQ116" s="87"/>
      <c r="DR116" s="87"/>
      <c r="DS116" s="87"/>
      <c r="DT116" s="87"/>
      <c r="DU116" s="87"/>
      <c r="DW116" s="165">
        <f t="shared" si="259"/>
        <v>0</v>
      </c>
      <c r="DX116" s="165">
        <f t="shared" si="260"/>
        <v>0</v>
      </c>
      <c r="DY116" s="87"/>
      <c r="DZ116" s="53">
        <f t="shared" si="250"/>
        <v>2059</v>
      </c>
      <c r="EA116" s="35">
        <f t="shared" si="251"/>
        <v>0</v>
      </c>
      <c r="EB116" s="35">
        <f t="shared" si="252"/>
        <v>0</v>
      </c>
      <c r="EC116" s="35"/>
      <c r="ED116" s="49">
        <f t="shared" si="261"/>
        <v>36</v>
      </c>
    </row>
    <row r="117" spans="1:134" s="33" customFormat="1" outlineLevel="1">
      <c r="A117" s="7">
        <f t="shared" si="253"/>
        <v>2060</v>
      </c>
      <c r="B117" s="151">
        <f>Assumptions!B44</f>
        <v>5.3800000000000001E-2</v>
      </c>
      <c r="C117" s="151">
        <f>Assumptions!C44</f>
        <v>5.3800000000000001E-2</v>
      </c>
      <c r="D117" s="151">
        <f>Assumptions!D44</f>
        <v>3.5000000000000003E-2</v>
      </c>
      <c r="E117" s="151">
        <f>Assumptions!E44</f>
        <v>5.2999999999999999E-2</v>
      </c>
      <c r="F117" s="8"/>
      <c r="G117" s="8"/>
      <c r="H117" s="8"/>
      <c r="I117" s="8"/>
      <c r="J117" s="8"/>
      <c r="K117" s="8"/>
      <c r="L117" s="8"/>
      <c r="M117" s="87">
        <f t="shared" si="212"/>
        <v>0</v>
      </c>
      <c r="N117" s="77" t="str">
        <f t="shared" si="213"/>
        <v xml:space="preserve">   </v>
      </c>
      <c r="O117" s="87">
        <f>IF($A117&gt;M$58, 0, SUM(M117:M$117)*N117*M$133/M$134+SUM(#REF!)*(M$134-M$133)/M$134*N117)</f>
        <v>0</v>
      </c>
      <c r="P117" s="35"/>
      <c r="Q117" s="87">
        <f t="shared" si="214"/>
        <v>0</v>
      </c>
      <c r="R117" s="77" t="str">
        <f t="shared" si="215"/>
        <v xml:space="preserve">   </v>
      </c>
      <c r="S117" s="87">
        <f>IF($A117&gt;Q$58, 0, SUM(Q117:Q$117)*R117*Q$133/Q$134+SUM(#REF!)*(Q$134-Q$133)/Q$134*R117)</f>
        <v>0</v>
      </c>
      <c r="T117" s="35"/>
      <c r="U117" s="35">
        <f t="shared" si="262"/>
        <v>0</v>
      </c>
      <c r="V117" s="35">
        <f t="shared" si="263"/>
        <v>0</v>
      </c>
      <c r="W117" s="35"/>
      <c r="X117" s="87">
        <f t="shared" si="218"/>
        <v>0</v>
      </c>
      <c r="Y117" s="77" t="str">
        <f t="shared" si="219"/>
        <v xml:space="preserve">   </v>
      </c>
      <c r="Z117" s="87">
        <f>IF($A117&gt;X$58, 0, SUM(X117:X$117)*Y117*X$133/X$134+SUM(#REF!)*(X$134-X$133)/X$134*Y117)</f>
        <v>0</v>
      </c>
      <c r="AA117" s="87"/>
      <c r="AB117" s="87">
        <f t="shared" si="220"/>
        <v>0</v>
      </c>
      <c r="AC117" s="77" t="str">
        <f t="shared" si="221"/>
        <v xml:space="preserve">   </v>
      </c>
      <c r="AD117" s="87">
        <f>IF($A117&gt;AB$58, 0, SUM(AB117:AB$117)*AC117*AB$133/AB$134+SUM(#REF!)*(AB$134-AB$133)/AB$134*AC117)</f>
        <v>0</v>
      </c>
      <c r="AE117" s="35"/>
      <c r="AF117" s="87">
        <f t="shared" si="222"/>
        <v>0</v>
      </c>
      <c r="AG117" s="77" t="str">
        <f t="shared" si="223"/>
        <v xml:space="preserve">   </v>
      </c>
      <c r="AH117" s="87">
        <f>IF($A117&gt;AF$58, 0, SUM(AF117:AF$117)*AG117*AF$133/AF$134+SUM(#REF!)*(AF$134-AF$133)/AF$134*AG117)</f>
        <v>0</v>
      </c>
      <c r="AI117" s="35"/>
      <c r="AJ117" s="87"/>
      <c r="AK117" s="77"/>
      <c r="AL117" s="87"/>
      <c r="AM117" s="35"/>
      <c r="AN117" s="87">
        <f t="shared" si="224"/>
        <v>0</v>
      </c>
      <c r="AO117" s="77" t="str">
        <f>IF($A117&gt;AN$128, "   ", IF(AN$124="VRDB", $D117+$E117+#REF!, IF(AN$124="1M LIBOR", $B117*AN$125+AN$126, IF(AN$124="3M LIBOR", $C117*AN$125+AN$126, IF(AN$124="R-FLOATs", $D117+#REF!+#REF!, 0)))))</f>
        <v xml:space="preserve">   </v>
      </c>
      <c r="AP117" s="87">
        <f>IF($A117&gt;AN$128, 0, SUM(AN117:AN$117)*AO117*AN$133/AN$134+SUM(#REF!)*AO117*AN$133/AN$134)</f>
        <v>0</v>
      </c>
      <c r="AQ117" s="35"/>
      <c r="AR117" s="87">
        <f t="shared" si="225"/>
        <v>0</v>
      </c>
      <c r="AS117" s="77" t="str">
        <f>IF($A117&gt;AR$128, "   ", IF(AR$124="VRDB", $D117+$E117+#REF!, IF(AR$124="1M LIBOR", $B117*AR$125+AR$126, IF(AR$124="3M LIBOR", $C117*AR$125+AR$126, IF(AR$124="R-FLOATs", $D117+#REF!+#REF!, 0)))))</f>
        <v xml:space="preserve">   </v>
      </c>
      <c r="AT117" s="87">
        <f>IF($A117&gt;AR$128, 0, SUM(AR117:AR$117)*AS117*AR$133/AR$134+SUM(#REF!)*AS117*AR$133/AR$134)</f>
        <v>0</v>
      </c>
      <c r="AV117" s="35">
        <f t="shared" si="264"/>
        <v>0</v>
      </c>
      <c r="AW117" s="35">
        <f t="shared" si="265"/>
        <v>0</v>
      </c>
      <c r="AX117" s="35"/>
      <c r="AY117" s="87">
        <f t="shared" si="228"/>
        <v>0</v>
      </c>
      <c r="AZ117" s="77" t="str">
        <f t="shared" si="229"/>
        <v xml:space="preserve">   </v>
      </c>
      <c r="BA117" s="87">
        <f>IF($A117&gt;AY$58, 0, SUM(AY117:AY$117)*AZ117*AY$133/AY$134+SUM(#REF!)*(AY$134-AY$133)/AY$134*AZ117)</f>
        <v>0</v>
      </c>
      <c r="BB117" s="61"/>
      <c r="BC117" s="87">
        <f t="shared" si="230"/>
        <v>0</v>
      </c>
      <c r="BD117" s="77" t="str">
        <f t="shared" si="231"/>
        <v xml:space="preserve">   </v>
      </c>
      <c r="BE117" s="87">
        <f>IF($A117&gt;BC$128, 0, SUM(BC117:BC$117)*BD117*BC$133/BC$134+SUM(#REF!)*BD117*BC$133/BC$134)</f>
        <v>0</v>
      </c>
      <c r="BF117" s="61"/>
      <c r="BG117" s="87">
        <f t="shared" si="232"/>
        <v>0</v>
      </c>
      <c r="BH117" s="77" t="str">
        <f t="shared" si="233"/>
        <v xml:space="preserve">   </v>
      </c>
      <c r="BI117" s="87">
        <f>IF($A117&gt;BG$128, 0, SUM(BG117:BG$117)*BH117*BG$133/BG$134+SUM(#REF!)*BH117*BG$133/BG$134)</f>
        <v>0</v>
      </c>
      <c r="BJ117" s="61"/>
      <c r="BK117" s="35">
        <f t="shared" si="254"/>
        <v>0</v>
      </c>
      <c r="BL117" s="35">
        <f t="shared" si="255"/>
        <v>0</v>
      </c>
      <c r="BM117" s="8"/>
      <c r="BN117" s="87">
        <f t="shared" si="234"/>
        <v>0</v>
      </c>
      <c r="BO117" s="77" t="str">
        <f t="shared" si="235"/>
        <v xml:space="preserve">   </v>
      </c>
      <c r="BP117" s="87">
        <f>IF($A117&gt;BN$58, 0, SUM(BN117:BN$117)*BO117*BN$133/BN$134+SUM(#REF!)*(BN$134-BN$133)/BN$134*BO117)</f>
        <v>0</v>
      </c>
      <c r="BQ117" s="77"/>
      <c r="BR117" s="87"/>
      <c r="BS117" s="77"/>
      <c r="BT117" s="87"/>
      <c r="BU117" s="87"/>
      <c r="BV117" s="35">
        <f t="shared" si="256"/>
        <v>0</v>
      </c>
      <c r="BW117" s="35">
        <f t="shared" si="257"/>
        <v>0</v>
      </c>
      <c r="BX117" s="87"/>
      <c r="BY117" s="87">
        <f t="shared" si="236"/>
        <v>0</v>
      </c>
      <c r="BZ117" s="77" t="str">
        <f t="shared" si="237"/>
        <v xml:space="preserve">   </v>
      </c>
      <c r="CA117" s="87">
        <f>IF($A117&gt;BY$58, 0, SUM(BY117:BY$117)*BZ117*BY$133/BY$134+SUM(#REF!)*(BY$134-BY$133)/BY$134*BZ117)</f>
        <v>0</v>
      </c>
      <c r="CB117" s="87"/>
      <c r="CC117" s="87">
        <f t="shared" si="238"/>
        <v>0</v>
      </c>
      <c r="CD117" s="77" t="str">
        <f t="shared" si="239"/>
        <v xml:space="preserve">   </v>
      </c>
      <c r="CE117" s="87">
        <f>IF($A117&gt;CC$58, 0, SUM(CC117:CC$117)*CD117*CC$133/CC$134+SUM(#REF!)*(CC$134-CC$133)/CC$134*CD117)</f>
        <v>0</v>
      </c>
      <c r="CF117" s="87"/>
      <c r="CG117" s="87"/>
      <c r="CH117" s="77"/>
      <c r="CI117" s="87"/>
      <c r="CJ117" s="87"/>
      <c r="CK117" s="87">
        <f t="shared" si="240"/>
        <v>0</v>
      </c>
      <c r="CL117" s="77" t="str">
        <f t="shared" si="241"/>
        <v xml:space="preserve">   </v>
      </c>
      <c r="CM117" s="87">
        <f>IF($A117&gt;CK$58, 0, SUM(CK117:CK$117)*CL117*CK$133/CK$134+SUM(#REF!)*(CK$134-CK$133)/CK$134*CL117)</f>
        <v>0</v>
      </c>
      <c r="CN117" s="87"/>
      <c r="CO117" s="162">
        <f t="shared" si="242"/>
        <v>0</v>
      </c>
      <c r="CP117" s="87">
        <f t="shared" si="243"/>
        <v>0</v>
      </c>
      <c r="CQ117" s="32"/>
      <c r="CR117" s="87">
        <f t="shared" si="244"/>
        <v>0</v>
      </c>
      <c r="CS117" s="77" t="str">
        <f t="shared" si="245"/>
        <v xml:space="preserve">   </v>
      </c>
      <c r="CT117" s="87">
        <f>IF($A117&gt;CR$58, 0, SUM(CR117:CR$117)*CS117*CR$133/CR$134+SUM(#REF!)*(CR$134-CR$133)/CR$134*CS117)</f>
        <v>0</v>
      </c>
      <c r="CZ117" s="165">
        <f t="shared" si="246"/>
        <v>0</v>
      </c>
      <c r="DA117" s="165">
        <f t="shared" si="247"/>
        <v>0</v>
      </c>
      <c r="DB117" s="87"/>
      <c r="DC117" s="87">
        <f t="shared" si="258"/>
        <v>0</v>
      </c>
      <c r="DD117" s="77" t="str">
        <f t="shared" si="248"/>
        <v>---</v>
      </c>
      <c r="DE117" s="87">
        <f>IF($A117&gt;DC$130, 0, IF($A117&lt;DC$128,#REF!, ROUND((( DC117*DD117)+#REF!)/2+#REF!/2, 2)))</f>
        <v>0</v>
      </c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W117" s="165">
        <f t="shared" si="259"/>
        <v>0</v>
      </c>
      <c r="DX117" s="165">
        <f t="shared" si="260"/>
        <v>0</v>
      </c>
      <c r="DY117" s="87"/>
      <c r="DZ117" s="53">
        <f t="shared" si="250"/>
        <v>2060</v>
      </c>
      <c r="EA117" s="35">
        <f t="shared" si="251"/>
        <v>0</v>
      </c>
      <c r="EB117" s="35">
        <f t="shared" si="252"/>
        <v>0</v>
      </c>
      <c r="EC117" s="35"/>
      <c r="ED117" s="49">
        <f t="shared" si="261"/>
        <v>37</v>
      </c>
    </row>
    <row r="118" spans="1:134" s="6" customFormat="1" ht="8" outlineLevel="1">
      <c r="A118" s="95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7"/>
      <c r="N118" s="97"/>
      <c r="O118" s="99"/>
      <c r="P118" s="99"/>
      <c r="Q118" s="97"/>
      <c r="R118" s="97"/>
      <c r="S118" s="99"/>
      <c r="T118" s="99"/>
      <c r="U118" s="99"/>
      <c r="V118" s="99"/>
      <c r="W118" s="99"/>
      <c r="X118" s="97"/>
      <c r="Y118" s="97"/>
      <c r="Z118" s="99"/>
      <c r="AA118" s="100"/>
      <c r="AB118" s="97"/>
      <c r="AC118" s="97"/>
      <c r="AD118" s="99"/>
      <c r="AE118" s="99"/>
      <c r="AF118" s="97"/>
      <c r="AG118" s="97"/>
      <c r="AH118" s="99"/>
      <c r="AI118" s="99"/>
      <c r="AJ118" s="99"/>
      <c r="AK118" s="102"/>
      <c r="AL118" s="98"/>
      <c r="AM118" s="99"/>
      <c r="AN118" s="99"/>
      <c r="AO118" s="96"/>
      <c r="AP118" s="98"/>
      <c r="AQ118" s="99"/>
      <c r="AR118" s="99"/>
      <c r="AS118" s="96"/>
      <c r="AT118" s="98"/>
      <c r="AV118" s="99"/>
      <c r="AW118" s="99"/>
      <c r="AX118" s="99"/>
      <c r="AY118" s="97"/>
      <c r="AZ118" s="97"/>
      <c r="BA118" s="99"/>
      <c r="BB118" s="103"/>
      <c r="BC118" s="103"/>
      <c r="BD118" s="102"/>
      <c r="BE118" s="103"/>
      <c r="BF118" s="103"/>
      <c r="BG118" s="103"/>
      <c r="BH118" s="102"/>
      <c r="BI118" s="103"/>
      <c r="BJ118" s="103"/>
      <c r="BK118" s="99"/>
      <c r="BL118" s="99"/>
      <c r="BM118" s="96"/>
      <c r="BN118" s="97"/>
      <c r="BO118" s="97"/>
      <c r="BP118" s="99"/>
      <c r="BQ118" s="102"/>
      <c r="BR118" s="99"/>
      <c r="BS118" s="102"/>
      <c r="BT118" s="100"/>
      <c r="BU118" s="100"/>
      <c r="BV118" s="99"/>
      <c r="BW118" s="99"/>
      <c r="BX118" s="100"/>
      <c r="BY118" s="97"/>
      <c r="BZ118" s="97"/>
      <c r="CA118" s="99"/>
      <c r="CB118" s="100"/>
      <c r="CC118" s="97"/>
      <c r="CD118" s="97"/>
      <c r="CE118" s="99"/>
      <c r="CF118" s="100"/>
      <c r="CG118" s="99"/>
      <c r="CH118" s="102"/>
      <c r="CI118" s="100"/>
      <c r="CJ118" s="100"/>
      <c r="CK118" s="99"/>
      <c r="CL118" s="102"/>
      <c r="CM118" s="100"/>
      <c r="CN118" s="100"/>
      <c r="CO118" s="100"/>
      <c r="CP118" s="100"/>
      <c r="CQ118" s="32"/>
      <c r="CR118" s="97"/>
      <c r="CS118" s="97"/>
      <c r="CT118" s="99"/>
      <c r="CZ118" s="100"/>
      <c r="DA118" s="100"/>
      <c r="DB118" s="100"/>
      <c r="DC118" s="97"/>
      <c r="DD118" s="97"/>
      <c r="DE118" s="99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W118" s="100"/>
      <c r="DX118" s="100"/>
      <c r="DY118" s="100"/>
      <c r="DZ118" s="99"/>
      <c r="EA118" s="104"/>
      <c r="EB118" s="104"/>
      <c r="EC118" s="99"/>
    </row>
    <row r="119" spans="1:134" s="33" customFormat="1" ht="16" outlineLevel="1">
      <c r="A119" s="38" t="s">
        <v>7</v>
      </c>
      <c r="B119" s="38"/>
      <c r="C119" s="8"/>
      <c r="D119" s="8"/>
      <c r="E119" s="8"/>
      <c r="F119" s="8"/>
      <c r="G119" s="8"/>
      <c r="H119" s="8"/>
      <c r="I119" s="8"/>
      <c r="J119" s="8"/>
      <c r="K119" s="8"/>
      <c r="L119" s="38"/>
      <c r="M119" s="88">
        <f>SUM(M81:M110)</f>
        <v>6815000</v>
      </c>
      <c r="N119" s="88"/>
      <c r="O119" s="88">
        <f>SUM(O81:O110)</f>
        <v>1461136</v>
      </c>
      <c r="P119" s="88"/>
      <c r="Q119" s="88">
        <f>SUM(Q81:Q110)</f>
        <v>10000000</v>
      </c>
      <c r="R119" s="88"/>
      <c r="S119" s="88">
        <f>SUM(S81:S110)</f>
        <v>2144000</v>
      </c>
      <c r="T119" s="88"/>
      <c r="U119" s="88">
        <f>SUM(U81:U110)</f>
        <v>16815000</v>
      </c>
      <c r="V119" s="88">
        <f>SUM(V81:V110)</f>
        <v>3605136</v>
      </c>
      <c r="W119" s="88"/>
      <c r="X119" s="88">
        <f>SUM(X81:X110)</f>
        <v>219535000</v>
      </c>
      <c r="Y119" s="88"/>
      <c r="Z119" s="88">
        <f>SUM(Z81:Z110)</f>
        <v>52216399.750000007</v>
      </c>
      <c r="AA119" s="88"/>
      <c r="AB119" s="88">
        <f>SUM(AB81:AB110)</f>
        <v>125000000</v>
      </c>
      <c r="AC119" s="88"/>
      <c r="AD119" s="88">
        <f>SUM(AD81:AD110)</f>
        <v>52593750</v>
      </c>
      <c r="AE119" s="88"/>
      <c r="AF119" s="88">
        <f>SUM(AF81:AF110)</f>
        <v>10000000</v>
      </c>
      <c r="AG119" s="88"/>
      <c r="AH119" s="88">
        <f>SUM(AH81:AH110)</f>
        <v>5769900</v>
      </c>
      <c r="AI119" s="88"/>
      <c r="AJ119" s="88"/>
      <c r="AK119" s="88"/>
      <c r="AL119" s="88"/>
      <c r="AM119" s="88"/>
      <c r="AN119" s="88">
        <f>SUM(AN81:AN110)</f>
        <v>50000000</v>
      </c>
      <c r="AO119" s="88"/>
      <c r="AP119" s="88">
        <f>SUM(AP81:AP110)</f>
        <v>7445550</v>
      </c>
      <c r="AQ119" s="88"/>
      <c r="AR119" s="88">
        <f>SUM(AR81:AR110)</f>
        <v>50000000</v>
      </c>
      <c r="AS119" s="88"/>
      <c r="AT119" s="88">
        <f>SUM(AT81:AT110)</f>
        <v>29393550</v>
      </c>
      <c r="AV119" s="88">
        <f>SUM(AV81:AV110)</f>
        <v>110000000</v>
      </c>
      <c r="AW119" s="88">
        <f>SUM(AW81:AW110)</f>
        <v>42609000</v>
      </c>
      <c r="AX119" s="88"/>
      <c r="AY119" s="88">
        <f>SUM(AY81:AY110)</f>
        <v>10000000</v>
      </c>
      <c r="AZ119" s="88"/>
      <c r="BA119" s="88">
        <f>SUM(BA81:BA110)</f>
        <v>2137500</v>
      </c>
      <c r="BB119" s="89"/>
      <c r="BC119" s="89">
        <f>SUM(BC81:BC117)</f>
        <v>30000000</v>
      </c>
      <c r="BD119" s="88"/>
      <c r="BE119" s="89">
        <f>SUM(BE81:BE117)</f>
        <v>24267862.5</v>
      </c>
      <c r="BF119" s="89"/>
      <c r="BG119" s="89">
        <f>SUM(BG81:BG117)</f>
        <v>75000000</v>
      </c>
      <c r="BH119" s="88"/>
      <c r="BI119" s="89">
        <f>SUM(BI81:BI117)</f>
        <v>60707937.5</v>
      </c>
      <c r="BJ119" s="89"/>
      <c r="BK119" s="88">
        <f>SUM(BK81:BK117)</f>
        <v>115000000</v>
      </c>
      <c r="BL119" s="88">
        <f>SUM(BL81:BL117)</f>
        <v>87113300</v>
      </c>
      <c r="BM119" s="39"/>
      <c r="BN119" s="88">
        <f>SUM(BN81:BN110)</f>
        <v>50000000</v>
      </c>
      <c r="BO119" s="88"/>
      <c r="BP119" s="88">
        <f>SUM(BP81:BP110)</f>
        <v>310000</v>
      </c>
      <c r="BQ119" s="39"/>
      <c r="BR119" s="88"/>
      <c r="BS119" s="39"/>
      <c r="BT119" s="88">
        <f>SUM(BT81:BT117)</f>
        <v>0</v>
      </c>
      <c r="BU119" s="88"/>
      <c r="BV119" s="88">
        <f>SUM(BV81:BV117)</f>
        <v>50000000</v>
      </c>
      <c r="BW119" s="88">
        <f>SUM(BW81:BW117)</f>
        <v>310000</v>
      </c>
      <c r="BX119" s="88"/>
      <c r="BY119" s="88">
        <f>SUM(BY81:BY110)</f>
        <v>45000000</v>
      </c>
      <c r="BZ119" s="88"/>
      <c r="CA119" s="88">
        <f>SUM(CA81:CA110)</f>
        <v>2389500</v>
      </c>
      <c r="CB119" s="88"/>
      <c r="CC119" s="88">
        <f>SUM(CC81:CC110)</f>
        <v>5000000</v>
      </c>
      <c r="CD119" s="88"/>
      <c r="CE119" s="88">
        <f>SUM(CE81:CE110)</f>
        <v>481650</v>
      </c>
      <c r="CF119" s="88"/>
      <c r="CG119" s="88"/>
      <c r="CH119" s="39"/>
      <c r="CI119" s="88"/>
      <c r="CJ119" s="88"/>
      <c r="CK119" s="88">
        <f>SUM(CK81:CK117)</f>
        <v>75000000</v>
      </c>
      <c r="CL119" s="39"/>
      <c r="CM119" s="88">
        <f>SUM(CM81:CM117)</f>
        <v>95884687.5</v>
      </c>
      <c r="CN119" s="88"/>
      <c r="CO119" s="88">
        <f>SUM(CO81:CO117)</f>
        <v>80000000</v>
      </c>
      <c r="CP119" s="88">
        <f>SUM(CP81:CP117)</f>
        <v>96366337.5</v>
      </c>
      <c r="CQ119" s="32"/>
      <c r="CR119" s="88">
        <f>SUM(CR81:CR110)</f>
        <v>22000000</v>
      </c>
      <c r="CS119" s="88"/>
      <c r="CT119" s="88">
        <f>SUM(CT81:CT110)</f>
        <v>3015320</v>
      </c>
      <c r="CZ119" s="88">
        <f>SUM(CZ81:CZ117)</f>
        <v>22000000</v>
      </c>
      <c r="DA119" s="88">
        <f>SUM(DA81:DA117)</f>
        <v>3015320</v>
      </c>
      <c r="DB119" s="88"/>
      <c r="DC119" s="88">
        <f>SUM(DC81:DC110)</f>
        <v>141030000</v>
      </c>
      <c r="DD119" s="88"/>
      <c r="DE119" s="88">
        <f>SUM(DE81:DE110)</f>
        <v>23440596.300000004</v>
      </c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W119" s="88">
        <f>SUM(DW81:DW118)</f>
        <v>563030000</v>
      </c>
      <c r="DX119" s="88">
        <f>SUM(DX81:DX118)</f>
        <v>255244053.79999998</v>
      </c>
      <c r="DY119" s="88"/>
      <c r="DZ119" s="39"/>
      <c r="EA119" s="39">
        <f>SUM(EA81:EA117)</f>
        <v>924380000</v>
      </c>
      <c r="EB119" s="39">
        <f>SUM(EB81:EB117)</f>
        <v>363659339.55000007</v>
      </c>
      <c r="EC119" s="39"/>
    </row>
    <row r="120" spans="1:134" outlineLevel="1"/>
    <row r="121" spans="1:134" outlineLevel="1">
      <c r="A121" s="226" t="s">
        <v>163</v>
      </c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DC121" s="18">
        <f>DC51</f>
        <v>2023</v>
      </c>
    </row>
    <row r="122" spans="1:134" s="68" customFormat="1" outlineLevel="1">
      <c r="A122" s="226" t="s">
        <v>145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66" t="s">
        <v>137</v>
      </c>
      <c r="N122" s="66"/>
      <c r="O122" s="66"/>
      <c r="P122" s="66"/>
      <c r="Q122" s="66" t="s">
        <v>138</v>
      </c>
      <c r="U122" s="66" t="s">
        <v>1</v>
      </c>
      <c r="X122" s="66" t="s">
        <v>143</v>
      </c>
      <c r="AB122" s="66" t="s">
        <v>144</v>
      </c>
      <c r="AC122" s="66"/>
      <c r="AD122" s="66"/>
      <c r="AE122" s="66"/>
      <c r="AF122" s="66" t="s">
        <v>108</v>
      </c>
      <c r="AG122" s="66"/>
      <c r="AH122" s="66"/>
      <c r="AI122" s="66"/>
      <c r="AJ122"/>
      <c r="AK122"/>
      <c r="AL122" s="66"/>
      <c r="AM122" s="66"/>
      <c r="AN122" s="66" t="s">
        <v>110</v>
      </c>
      <c r="AO122" s="66"/>
      <c r="AP122" s="66"/>
      <c r="AQ122" s="66"/>
      <c r="AR122" s="66" t="s">
        <v>111</v>
      </c>
      <c r="AS122" s="66"/>
      <c r="AT122" s="66"/>
      <c r="AU122" s="66"/>
      <c r="AV122" s="66" t="s">
        <v>2</v>
      </c>
      <c r="AY122" s="68" t="s">
        <v>149</v>
      </c>
      <c r="BC122" s="66" t="s">
        <v>150</v>
      </c>
      <c r="BD122" s="66"/>
      <c r="BE122" s="66"/>
      <c r="BF122" s="66"/>
      <c r="BG122" s="66" t="s">
        <v>151</v>
      </c>
      <c r="BH122" s="66"/>
      <c r="BI122" s="66"/>
      <c r="BJ122" s="66"/>
      <c r="BK122" s="66" t="s">
        <v>98</v>
      </c>
      <c r="BN122" s="66" t="str">
        <f>'Debt Service'!BN52</f>
        <v>2020 B Series</v>
      </c>
      <c r="BR122" s="66"/>
      <c r="BV122" s="66" t="s">
        <v>133</v>
      </c>
      <c r="BY122" s="135" t="s">
        <v>162</v>
      </c>
      <c r="BZ122"/>
      <c r="CA122"/>
      <c r="CC122" s="187" t="str">
        <f>'Debt Service'!CC52</f>
        <v>2022 A Series</v>
      </c>
      <c r="CG122"/>
      <c r="CH122"/>
      <c r="CI122"/>
      <c r="CJ122"/>
      <c r="CK122" s="187" t="str">
        <f>'Debt Service'!CK52</f>
        <v>2022 C Series</v>
      </c>
      <c r="CR122" s="53" t="str">
        <f>CR52</f>
        <v>2022 D Series</v>
      </c>
      <c r="DC122" s="53" t="str">
        <f>DC52</f>
        <v>2023 Series</v>
      </c>
    </row>
    <row r="123" spans="1:134" outlineLevel="1">
      <c r="A123" s="234" t="s">
        <v>168</v>
      </c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15">
        <v>18000000</v>
      </c>
      <c r="N123" s="15"/>
      <c r="O123" s="15"/>
      <c r="P123" s="15"/>
      <c r="Q123" s="127">
        <v>10000000</v>
      </c>
      <c r="U123" s="29">
        <f>M123+Q123</f>
        <v>28000000</v>
      </c>
      <c r="X123" s="127">
        <v>250000000</v>
      </c>
      <c r="AB123" s="127">
        <v>125000000</v>
      </c>
      <c r="AF123" s="15">
        <v>10000000</v>
      </c>
      <c r="AN123" s="15">
        <v>50000000</v>
      </c>
      <c r="AR123" s="127">
        <v>50000000</v>
      </c>
      <c r="AV123" s="29">
        <f>AF123+AJ123+AN123+AR123</f>
        <v>110000000</v>
      </c>
      <c r="AY123" s="15">
        <v>10000000</v>
      </c>
      <c r="BC123" s="15">
        <v>30000000</v>
      </c>
      <c r="BG123" s="127">
        <v>75000000</v>
      </c>
      <c r="BK123" s="29">
        <f>AY123+BC123+BG123</f>
        <v>115000000</v>
      </c>
      <c r="BN123" s="64">
        <v>50000000</v>
      </c>
      <c r="BR123" s="145"/>
      <c r="BV123" s="29">
        <f>BN123+BR123</f>
        <v>50000000</v>
      </c>
      <c r="BY123" s="136">
        <v>45000000</v>
      </c>
      <c r="CC123" s="188">
        <f>'Debt Service'!CC53</f>
        <v>5000000</v>
      </c>
      <c r="CK123" s="188">
        <f>'Debt Service'!CK53</f>
        <v>75000000</v>
      </c>
      <c r="CR123" s="67">
        <f>CR53</f>
        <v>22000000</v>
      </c>
      <c r="DC123" s="116">
        <f>DC53</f>
        <v>141030000</v>
      </c>
    </row>
    <row r="124" spans="1:134" outlineLevel="1">
      <c r="A124" s="234" t="s">
        <v>136</v>
      </c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19">
        <v>5.3600000000000002E-2</v>
      </c>
      <c r="N124" s="19"/>
      <c r="O124" s="19"/>
      <c r="P124" s="19"/>
      <c r="Q124" s="19">
        <v>5.3600000000000002E-2</v>
      </c>
      <c r="X124" s="19">
        <v>4.7570000000000001E-2</v>
      </c>
      <c r="AB124" s="19">
        <v>4.675E-2</v>
      </c>
      <c r="AF124" s="19">
        <v>4.274E-2</v>
      </c>
      <c r="AG124" s="19" t="s">
        <v>114</v>
      </c>
      <c r="AH124" s="19" t="s">
        <v>114</v>
      </c>
      <c r="AN124" s="19" t="s">
        <v>116</v>
      </c>
      <c r="AR124" s="19" t="s">
        <v>116</v>
      </c>
      <c r="AY124" s="19">
        <v>2.2499999999999999E-2</v>
      </c>
      <c r="BC124" s="19" t="s">
        <v>117</v>
      </c>
      <c r="BG124" s="19" t="s">
        <v>117</v>
      </c>
      <c r="BN124" s="146">
        <v>6.1999999999999998E-3</v>
      </c>
      <c r="BR124" s="142"/>
      <c r="BY124" s="138">
        <v>8.8500000000000002E-3</v>
      </c>
      <c r="CC124" s="189">
        <v>1.482E-2</v>
      </c>
      <c r="CK124" s="142" t="s">
        <v>169</v>
      </c>
      <c r="CR124" s="146">
        <v>2.4920000000000001E-2</v>
      </c>
      <c r="DC124" s="146">
        <v>3.022E-2</v>
      </c>
    </row>
    <row r="125" spans="1:134" outlineLevel="1">
      <c r="A125" s="234" t="s">
        <v>113</v>
      </c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19" t="s">
        <v>114</v>
      </c>
      <c r="N125" s="19"/>
      <c r="O125" s="19"/>
      <c r="P125" s="19"/>
      <c r="Q125" s="19" t="s">
        <v>114</v>
      </c>
      <c r="X125" s="19" t="s">
        <v>114</v>
      </c>
      <c r="AB125" s="19" t="s">
        <v>114</v>
      </c>
      <c r="AN125" s="19">
        <v>0.67</v>
      </c>
      <c r="AR125" s="19">
        <v>0.67</v>
      </c>
      <c r="AY125" s="19" t="s">
        <v>114</v>
      </c>
      <c r="BC125" s="19">
        <v>0.67</v>
      </c>
      <c r="BG125" s="19">
        <v>0.67</v>
      </c>
      <c r="BN125" s="142" t="s">
        <v>114</v>
      </c>
      <c r="BR125" s="142"/>
      <c r="BY125" s="138">
        <v>1</v>
      </c>
      <c r="CC125" s="142" t="s">
        <v>114</v>
      </c>
      <c r="CK125" s="142">
        <v>0.67</v>
      </c>
      <c r="CR125" s="146" t="str">
        <f>CR55</f>
        <v>***</v>
      </c>
      <c r="DC125" s="146">
        <f>DC55</f>
        <v>1</v>
      </c>
    </row>
    <row r="126" spans="1:134" outlineLevel="1">
      <c r="A126" s="234" t="s">
        <v>96</v>
      </c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19" t="s">
        <v>114</v>
      </c>
      <c r="N126" s="19"/>
      <c r="O126" s="19"/>
      <c r="P126" s="19"/>
      <c r="Q126" s="19" t="s">
        <v>114</v>
      </c>
      <c r="X126" s="19" t="s">
        <v>114</v>
      </c>
      <c r="AB126" s="19" t="s">
        <v>114</v>
      </c>
      <c r="AN126" s="19">
        <v>6.4999999999999997E-3</v>
      </c>
      <c r="AR126" s="19">
        <v>7.4999999999999997E-3</v>
      </c>
      <c r="AY126" s="19" t="s">
        <v>114</v>
      </c>
      <c r="BC126" s="90">
        <v>3.5750000000000001E-3</v>
      </c>
      <c r="BG126" s="19">
        <v>3.5999999999999999E-3</v>
      </c>
      <c r="BN126" s="142" t="s">
        <v>114</v>
      </c>
      <c r="BR126" s="142"/>
      <c r="BY126" s="138">
        <v>0</v>
      </c>
      <c r="CC126" s="142" t="s">
        <v>114</v>
      </c>
      <c r="CK126" s="142">
        <v>2.9399999999999999E-3</v>
      </c>
      <c r="CR126" s="146" t="str">
        <f>CR56</f>
        <v>***</v>
      </c>
      <c r="DC126" s="146" t="str">
        <f>DC56</f>
        <v>***</v>
      </c>
    </row>
    <row r="127" spans="1:134" outlineLevel="1">
      <c r="A127" s="234" t="s">
        <v>203</v>
      </c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BY127" s="137"/>
      <c r="CR127" s="68"/>
      <c r="DC127" s="68"/>
    </row>
    <row r="128" spans="1:134" outlineLevel="1">
      <c r="A128" s="250" t="s">
        <v>4</v>
      </c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18">
        <v>2027</v>
      </c>
      <c r="N128" s="18"/>
      <c r="O128" s="18"/>
      <c r="P128" s="18"/>
      <c r="Q128" s="18">
        <f>Q$58</f>
        <v>2027</v>
      </c>
      <c r="X128" s="18">
        <f>X$58</f>
        <v>2028</v>
      </c>
      <c r="AB128" s="18">
        <f>AB$58</f>
        <v>2032</v>
      </c>
      <c r="AF128" s="18">
        <f>AF$58</f>
        <v>2037</v>
      </c>
      <c r="AN128" s="66">
        <v>2027</v>
      </c>
      <c r="AR128" s="18">
        <f>AR$58</f>
        <v>2037</v>
      </c>
      <c r="AV128" s="18">
        <f>MAX(AF128:AR128)</f>
        <v>2037</v>
      </c>
      <c r="AY128" s="18">
        <f>AY$58</f>
        <v>2033</v>
      </c>
      <c r="BC128" s="18">
        <f>BC$58</f>
        <v>2048</v>
      </c>
      <c r="BG128" s="18">
        <f>BG$58</f>
        <v>2048</v>
      </c>
      <c r="BN128" s="66">
        <f>'Debt Service'!BN58</f>
        <v>2024</v>
      </c>
      <c r="BR128" s="18"/>
      <c r="BY128" s="131">
        <v>2029</v>
      </c>
      <c r="CC128" s="18">
        <v>2030</v>
      </c>
      <c r="CK128" s="53">
        <f>CK58</f>
        <v>2057</v>
      </c>
      <c r="CR128" s="66">
        <f>CR58</f>
        <v>2029</v>
      </c>
      <c r="DC128" s="53">
        <f>DC58</f>
        <v>2033</v>
      </c>
      <c r="DD128" s="75">
        <f>DD58</f>
        <v>50000000</v>
      </c>
      <c r="DE128" s="146">
        <v>3.022E-2</v>
      </c>
    </row>
    <row r="129" spans="1:132" outlineLevel="1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18"/>
      <c r="N129" s="18"/>
      <c r="O129" s="18"/>
      <c r="P129" s="18"/>
      <c r="Q129" s="18"/>
      <c r="X129" s="18"/>
      <c r="AB129" s="18"/>
      <c r="AF129" s="18"/>
      <c r="AN129" s="66"/>
      <c r="AR129" s="18"/>
      <c r="AV129" s="18"/>
      <c r="AY129" s="18"/>
      <c r="BC129" s="18"/>
      <c r="BG129" s="18"/>
      <c r="BN129" s="66"/>
      <c r="BR129" s="18"/>
      <c r="BY129" s="131"/>
      <c r="CC129" s="18"/>
      <c r="CK129" s="53"/>
      <c r="CR129" s="66"/>
      <c r="DC129" s="53">
        <f t="shared" ref="DC129:DD130" si="266">DC59</f>
        <v>2034</v>
      </c>
      <c r="DD129" s="75">
        <f t="shared" si="266"/>
        <v>41030000</v>
      </c>
      <c r="DE129" s="146">
        <v>3.022E-2</v>
      </c>
    </row>
    <row r="130" spans="1:132" outlineLevel="1">
      <c r="A130" s="212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18"/>
      <c r="N130" s="18"/>
      <c r="O130" s="18"/>
      <c r="P130" s="18"/>
      <c r="Q130" s="18"/>
      <c r="X130" s="18"/>
      <c r="AB130" s="18"/>
      <c r="AF130" s="18"/>
      <c r="AN130" s="66"/>
      <c r="AR130" s="18"/>
      <c r="AV130" s="18"/>
      <c r="AY130" s="18"/>
      <c r="BC130" s="18"/>
      <c r="BG130" s="18"/>
      <c r="BN130" s="66"/>
      <c r="BR130" s="18"/>
      <c r="BY130" s="131"/>
      <c r="CC130" s="18"/>
      <c r="CK130" s="53"/>
      <c r="CR130" s="66"/>
      <c r="DC130" s="53">
        <f t="shared" si="266"/>
        <v>2035</v>
      </c>
      <c r="DD130" s="75">
        <f t="shared" si="266"/>
        <v>50000000</v>
      </c>
      <c r="DE130" s="146">
        <v>3.022E-2</v>
      </c>
    </row>
    <row r="131" spans="1:132" outlineLevel="1">
      <c r="A131" s="250" t="s">
        <v>115</v>
      </c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85">
        <v>46569</v>
      </c>
      <c r="N131" s="85"/>
      <c r="O131" s="85"/>
      <c r="P131" s="85"/>
      <c r="Q131" s="85">
        <v>46569</v>
      </c>
      <c r="X131" s="85">
        <v>46966</v>
      </c>
      <c r="AB131" s="85">
        <v>48396</v>
      </c>
      <c r="AF131" s="85">
        <v>50192</v>
      </c>
      <c r="AN131" s="85">
        <v>46539</v>
      </c>
      <c r="AR131" s="85">
        <v>50192</v>
      </c>
      <c r="AV131" s="85">
        <f>MAX(AF131:AR131)</f>
        <v>50192</v>
      </c>
      <c r="AY131" s="85">
        <v>48823</v>
      </c>
      <c r="BC131" s="85">
        <v>54302</v>
      </c>
      <c r="BG131" s="85">
        <v>54302</v>
      </c>
      <c r="BN131" s="85">
        <v>45597</v>
      </c>
      <c r="BR131" s="85"/>
      <c r="BY131" s="139">
        <v>47392</v>
      </c>
      <c r="CC131" s="85">
        <v>47543</v>
      </c>
      <c r="CK131" s="183">
        <f>CK61</f>
        <v>57405</v>
      </c>
      <c r="CR131" s="147">
        <f>CR61</f>
        <v>47178</v>
      </c>
      <c r="DC131" s="147">
        <f>DC61</f>
        <v>49369</v>
      </c>
    </row>
    <row r="132" spans="1:132" outlineLevel="1">
      <c r="A132" s="234" t="s">
        <v>34</v>
      </c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Q132" s="18"/>
      <c r="BY132" s="137"/>
      <c r="CR132" s="68"/>
      <c r="DC132" s="68"/>
    </row>
    <row r="133" spans="1:132" outlineLevel="1">
      <c r="A133" s="250" t="s">
        <v>140</v>
      </c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18">
        <v>2</v>
      </c>
      <c r="Q133" s="18">
        <v>2</v>
      </c>
      <c r="X133" s="18">
        <v>2</v>
      </c>
      <c r="AB133" s="18">
        <v>2</v>
      </c>
      <c r="AF133" s="18">
        <v>1</v>
      </c>
      <c r="AN133" s="18">
        <v>2</v>
      </c>
      <c r="AR133" s="18">
        <v>2</v>
      </c>
      <c r="AY133" s="18">
        <v>1</v>
      </c>
      <c r="BC133" s="18">
        <v>5</v>
      </c>
      <c r="BG133" s="18">
        <v>5</v>
      </c>
      <c r="BN133" s="18">
        <v>2</v>
      </c>
      <c r="BR133" s="18"/>
      <c r="BY133" s="131">
        <v>2</v>
      </c>
      <c r="CC133" s="18">
        <v>1</v>
      </c>
      <c r="CK133" s="53">
        <f>CK63</f>
        <v>3</v>
      </c>
      <c r="CR133" s="66">
        <f>CR63</f>
        <v>1</v>
      </c>
      <c r="DC133" s="66">
        <v>1</v>
      </c>
    </row>
    <row r="134" spans="1:132" outlineLevel="1">
      <c r="A134" s="250" t="s">
        <v>139</v>
      </c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18">
        <v>2</v>
      </c>
      <c r="Q134" s="18">
        <v>2</v>
      </c>
      <c r="X134" s="18">
        <v>2</v>
      </c>
      <c r="AB134" s="18">
        <v>2</v>
      </c>
      <c r="AF134" s="18">
        <v>2</v>
      </c>
      <c r="AN134" s="18">
        <v>4</v>
      </c>
      <c r="AR134" s="18">
        <v>4</v>
      </c>
      <c r="AY134" s="18">
        <v>2</v>
      </c>
      <c r="BC134" s="18">
        <v>12</v>
      </c>
      <c r="BG134" s="18">
        <v>12</v>
      </c>
      <c r="BN134" s="18">
        <v>2</v>
      </c>
      <c r="BR134" s="18"/>
      <c r="BY134" s="131">
        <v>2</v>
      </c>
      <c r="CC134" s="18">
        <v>2</v>
      </c>
      <c r="CK134" s="53">
        <f>CK64</f>
        <v>12</v>
      </c>
      <c r="CR134" s="66">
        <f>CR64</f>
        <v>2</v>
      </c>
      <c r="DC134" s="66">
        <v>2</v>
      </c>
    </row>
    <row r="135" spans="1:132" outlineLevel="1">
      <c r="A135" s="234"/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BY135" s="137"/>
      <c r="CR135" s="66"/>
      <c r="DC135" s="66"/>
    </row>
    <row r="136" spans="1:132" outlineLevel="1">
      <c r="A136" s="250" t="s">
        <v>153</v>
      </c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85">
        <f>M131</f>
        <v>46569</v>
      </c>
      <c r="Q136" s="85">
        <f>Q131</f>
        <v>46569</v>
      </c>
      <c r="X136" s="85">
        <f>X131</f>
        <v>46966</v>
      </c>
      <c r="AB136" s="85">
        <f>AB131</f>
        <v>48396</v>
      </c>
      <c r="AF136" s="85">
        <f>AF131</f>
        <v>50192</v>
      </c>
      <c r="AN136" s="85">
        <f>AN131</f>
        <v>46539</v>
      </c>
      <c r="AR136" s="85">
        <f>AR131</f>
        <v>50192</v>
      </c>
      <c r="AY136" s="85">
        <f>AY131</f>
        <v>48823</v>
      </c>
      <c r="BC136" s="147">
        <v>46722</v>
      </c>
      <c r="BG136" s="147">
        <v>46722</v>
      </c>
      <c r="BN136" s="182">
        <v>47392</v>
      </c>
      <c r="BY136" s="182">
        <v>47392</v>
      </c>
      <c r="CK136" s="85">
        <v>46447</v>
      </c>
      <c r="CR136" s="147">
        <f>CR131</f>
        <v>47178</v>
      </c>
      <c r="DC136" s="147">
        <f>DC131</f>
        <v>49369</v>
      </c>
    </row>
    <row r="138" spans="1:132" ht="14">
      <c r="A138" s="255" t="s">
        <v>182</v>
      </c>
      <c r="B138" s="255"/>
      <c r="C138" s="255"/>
      <c r="D138" s="255"/>
      <c r="E138" s="255"/>
      <c r="F138" s="255"/>
      <c r="G138" s="255"/>
      <c r="H138" s="255"/>
      <c r="I138" s="255"/>
      <c r="J138" s="255"/>
      <c r="K138" s="255"/>
      <c r="L138" s="255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0"/>
      <c r="BN138" s="160"/>
      <c r="BO138" s="160"/>
      <c r="BP138" s="160"/>
      <c r="BQ138" s="160"/>
      <c r="BR138" s="160"/>
      <c r="BS138" s="160"/>
      <c r="BT138" s="160"/>
      <c r="BU138" s="160"/>
      <c r="BV138" s="160"/>
      <c r="BW138" s="160"/>
      <c r="BX138" s="160"/>
      <c r="BY138" s="160"/>
      <c r="BZ138" s="160"/>
      <c r="CA138" s="160"/>
      <c r="CB138" s="160"/>
      <c r="CC138" s="160"/>
      <c r="CD138" s="160"/>
      <c r="CE138" s="160"/>
      <c r="CF138" s="160"/>
      <c r="CG138" s="160"/>
      <c r="CH138" s="160"/>
      <c r="CI138" s="160"/>
      <c r="CJ138" s="160"/>
      <c r="CK138" s="160"/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0"/>
      <c r="DY138" s="160"/>
      <c r="DZ138" s="160"/>
      <c r="EA138" s="160"/>
      <c r="EB138" s="160"/>
    </row>
    <row r="139" spans="1:132" ht="14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92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160"/>
      <c r="BN139" s="160"/>
      <c r="BO139" s="160"/>
      <c r="BP139" s="160"/>
      <c r="BQ139" s="160"/>
      <c r="BR139" s="160"/>
      <c r="BS139" s="160"/>
      <c r="BT139" s="160"/>
      <c r="BU139" s="160"/>
      <c r="BV139" s="160"/>
      <c r="BW139" s="160"/>
      <c r="BX139" s="160"/>
      <c r="BY139" s="160"/>
      <c r="BZ139" s="160"/>
      <c r="CA139" s="160"/>
      <c r="CB139" s="160"/>
      <c r="CC139" s="160"/>
      <c r="CD139" s="160"/>
      <c r="CE139" s="160"/>
      <c r="CF139" s="160"/>
      <c r="CG139" s="160"/>
      <c r="CH139" s="160"/>
      <c r="CI139" s="160"/>
      <c r="CJ139" s="160"/>
      <c r="CK139" s="160"/>
      <c r="CL139" s="160"/>
      <c r="CM139" s="160"/>
      <c r="CN139" s="160"/>
      <c r="CO139" s="160"/>
      <c r="CP139" s="160"/>
      <c r="CQ139" s="160"/>
      <c r="CR139" s="192"/>
      <c r="CS139" s="192"/>
      <c r="CT139" s="192"/>
      <c r="CU139" s="192"/>
      <c r="CV139" s="192"/>
      <c r="CW139" s="192"/>
      <c r="CX139" s="192"/>
      <c r="CY139" s="192"/>
      <c r="CZ139" s="192"/>
      <c r="DA139" s="192"/>
      <c r="DB139" s="192"/>
      <c r="DC139" s="192"/>
      <c r="DD139" s="192"/>
      <c r="DE139" s="192"/>
      <c r="DF139" s="192"/>
      <c r="DG139" s="192"/>
      <c r="DH139" s="192"/>
      <c r="DI139" s="192"/>
      <c r="DJ139" s="192"/>
      <c r="DK139" s="192"/>
      <c r="DL139" s="192"/>
      <c r="DM139" s="192"/>
      <c r="DN139" s="192"/>
      <c r="DO139" s="192"/>
      <c r="DP139" s="192"/>
      <c r="DQ139" s="192"/>
      <c r="DR139" s="192"/>
      <c r="DS139" s="192"/>
      <c r="DT139" s="192"/>
      <c r="DU139" s="192"/>
      <c r="DV139" s="192"/>
      <c r="DW139" s="192"/>
      <c r="DX139" s="192"/>
      <c r="DY139" s="192"/>
      <c r="DZ139" s="192"/>
      <c r="EA139" s="192"/>
      <c r="EB139" s="192"/>
    </row>
    <row r="140" spans="1:132" outlineLevel="1">
      <c r="A140" s="180">
        <f>1</f>
        <v>1</v>
      </c>
      <c r="B140" s="180">
        <f t="shared" ref="B140:BA140" si="267">A140+1</f>
        <v>2</v>
      </c>
      <c r="C140" s="180">
        <f t="shared" si="267"/>
        <v>3</v>
      </c>
      <c r="D140" s="180">
        <f t="shared" si="267"/>
        <v>4</v>
      </c>
      <c r="E140" s="180">
        <f t="shared" si="267"/>
        <v>5</v>
      </c>
      <c r="F140" s="180">
        <f t="shared" si="267"/>
        <v>6</v>
      </c>
      <c r="G140" s="180">
        <f t="shared" si="267"/>
        <v>7</v>
      </c>
      <c r="H140" s="180">
        <f t="shared" si="267"/>
        <v>8</v>
      </c>
      <c r="I140" s="180">
        <f t="shared" si="267"/>
        <v>9</v>
      </c>
      <c r="J140" s="180">
        <f t="shared" si="267"/>
        <v>10</v>
      </c>
      <c r="K140" s="180">
        <f t="shared" si="267"/>
        <v>11</v>
      </c>
      <c r="L140" s="180">
        <f t="shared" si="267"/>
        <v>12</v>
      </c>
      <c r="M140" s="180">
        <f t="shared" si="267"/>
        <v>13</v>
      </c>
      <c r="N140" s="180">
        <f t="shared" si="267"/>
        <v>14</v>
      </c>
      <c r="O140" s="180">
        <f t="shared" si="267"/>
        <v>15</v>
      </c>
      <c r="P140" s="180">
        <f t="shared" si="267"/>
        <v>16</v>
      </c>
      <c r="Q140" s="180">
        <f t="shared" si="267"/>
        <v>17</v>
      </c>
      <c r="R140" s="180">
        <f t="shared" si="267"/>
        <v>18</v>
      </c>
      <c r="S140" s="180">
        <f t="shared" si="267"/>
        <v>19</v>
      </c>
      <c r="T140" s="180">
        <f t="shared" si="267"/>
        <v>20</v>
      </c>
      <c r="U140" s="180">
        <f t="shared" si="267"/>
        <v>21</v>
      </c>
      <c r="V140" s="180">
        <f t="shared" si="267"/>
        <v>22</v>
      </c>
      <c r="W140" s="180">
        <f t="shared" si="267"/>
        <v>23</v>
      </c>
      <c r="X140" s="180">
        <f t="shared" si="267"/>
        <v>24</v>
      </c>
      <c r="Y140" s="180">
        <f t="shared" si="267"/>
        <v>25</v>
      </c>
      <c r="Z140" s="180">
        <f t="shared" si="267"/>
        <v>26</v>
      </c>
      <c r="AA140" s="180">
        <f t="shared" si="267"/>
        <v>27</v>
      </c>
      <c r="AB140" s="180">
        <f t="shared" si="267"/>
        <v>28</v>
      </c>
      <c r="AC140" s="180">
        <f t="shared" si="267"/>
        <v>29</v>
      </c>
      <c r="AD140" s="180">
        <f t="shared" si="267"/>
        <v>30</v>
      </c>
      <c r="AE140" s="180">
        <f t="shared" si="267"/>
        <v>31</v>
      </c>
      <c r="AF140" s="180">
        <f t="shared" si="267"/>
        <v>32</v>
      </c>
      <c r="AG140" s="180">
        <f t="shared" si="267"/>
        <v>33</v>
      </c>
      <c r="AH140" s="180">
        <f t="shared" si="267"/>
        <v>34</v>
      </c>
      <c r="AI140" s="180">
        <f t="shared" si="267"/>
        <v>35</v>
      </c>
      <c r="AJ140" s="180">
        <f t="shared" si="267"/>
        <v>36</v>
      </c>
      <c r="AK140" s="180">
        <f t="shared" si="267"/>
        <v>37</v>
      </c>
      <c r="AL140" s="180">
        <f t="shared" si="267"/>
        <v>38</v>
      </c>
      <c r="AM140" s="180">
        <f t="shared" si="267"/>
        <v>39</v>
      </c>
      <c r="AN140" s="180">
        <f t="shared" si="267"/>
        <v>40</v>
      </c>
      <c r="AO140" s="180">
        <f t="shared" si="267"/>
        <v>41</v>
      </c>
      <c r="AP140" s="180">
        <f t="shared" si="267"/>
        <v>42</v>
      </c>
      <c r="AQ140" s="180">
        <f t="shared" si="267"/>
        <v>43</v>
      </c>
      <c r="AR140" s="180">
        <f t="shared" si="267"/>
        <v>44</v>
      </c>
      <c r="AS140" s="180">
        <f t="shared" si="267"/>
        <v>45</v>
      </c>
      <c r="AT140" s="180">
        <f t="shared" si="267"/>
        <v>46</v>
      </c>
      <c r="AU140" s="180">
        <f t="shared" si="267"/>
        <v>47</v>
      </c>
      <c r="AV140" s="180">
        <f t="shared" si="267"/>
        <v>48</v>
      </c>
      <c r="AW140" s="180">
        <f t="shared" si="267"/>
        <v>49</v>
      </c>
      <c r="AX140" s="180">
        <f t="shared" si="267"/>
        <v>50</v>
      </c>
      <c r="AY140" s="180">
        <f t="shared" si="267"/>
        <v>51</v>
      </c>
      <c r="AZ140" s="180">
        <f t="shared" si="267"/>
        <v>52</v>
      </c>
      <c r="BA140" s="180">
        <f t="shared" si="267"/>
        <v>53</v>
      </c>
      <c r="BB140" s="180">
        <f t="shared" ref="BB140" si="268">BA140+1</f>
        <v>54</v>
      </c>
      <c r="BC140" s="180">
        <f t="shared" ref="BC140" si="269">BB140+1</f>
        <v>55</v>
      </c>
      <c r="BD140" s="180">
        <f t="shared" ref="BD140" si="270">BC140+1</f>
        <v>56</v>
      </c>
      <c r="BE140" s="180">
        <f t="shared" ref="BE140" si="271">BD140+1</f>
        <v>57</v>
      </c>
      <c r="BF140" s="180">
        <f t="shared" ref="BF140" si="272">BE140+1</f>
        <v>58</v>
      </c>
      <c r="BG140" s="180">
        <f t="shared" ref="BG140" si="273">BF140+1</f>
        <v>59</v>
      </c>
      <c r="BH140" s="180">
        <f t="shared" ref="BH140" si="274">BG140+1</f>
        <v>60</v>
      </c>
      <c r="BI140" s="180">
        <f t="shared" ref="BI140" si="275">BH140+1</f>
        <v>61</v>
      </c>
      <c r="BJ140" s="180">
        <f t="shared" ref="BJ140" si="276">BI140+1</f>
        <v>62</v>
      </c>
      <c r="BK140" s="180">
        <f t="shared" ref="BK140" si="277">BJ140+1</f>
        <v>63</v>
      </c>
      <c r="BL140" s="180">
        <f t="shared" ref="BL140" si="278">BK140+1</f>
        <v>64</v>
      </c>
      <c r="BM140" s="180">
        <f t="shared" ref="BM140" si="279">BL140+1</f>
        <v>65</v>
      </c>
      <c r="BN140" s="180">
        <f t="shared" ref="BN140" si="280">BM140+1</f>
        <v>66</v>
      </c>
      <c r="BO140" s="180">
        <f t="shared" ref="BO140" si="281">BN140+1</f>
        <v>67</v>
      </c>
      <c r="BP140" s="180">
        <f t="shared" ref="BP140" si="282">BO140+1</f>
        <v>68</v>
      </c>
      <c r="BQ140" s="180">
        <f t="shared" ref="BQ140" si="283">BP140+1</f>
        <v>69</v>
      </c>
      <c r="BR140" s="180">
        <f t="shared" ref="BR140" si="284">BQ140+1</f>
        <v>70</v>
      </c>
      <c r="BS140" s="180">
        <f t="shared" ref="BS140" si="285">BR140+1</f>
        <v>71</v>
      </c>
      <c r="BT140" s="180">
        <f t="shared" ref="BT140" si="286">BS140+1</f>
        <v>72</v>
      </c>
      <c r="BU140" s="180">
        <f t="shared" ref="BU140" si="287">BT140+1</f>
        <v>73</v>
      </c>
      <c r="BV140" s="180">
        <f t="shared" ref="BV140" si="288">BU140+1</f>
        <v>74</v>
      </c>
      <c r="BW140" s="180">
        <f t="shared" ref="BW140" si="289">BV140+1</f>
        <v>75</v>
      </c>
      <c r="BX140" s="180">
        <f t="shared" ref="BX140" si="290">BW140+1</f>
        <v>76</v>
      </c>
      <c r="BY140" s="180">
        <f t="shared" ref="BY140" si="291">BX140+1</f>
        <v>77</v>
      </c>
      <c r="BZ140" s="180">
        <f t="shared" ref="BZ140" si="292">BY140+1</f>
        <v>78</v>
      </c>
      <c r="CA140" s="180">
        <f t="shared" ref="CA140:DX140" si="293">BZ140+1</f>
        <v>79</v>
      </c>
      <c r="CB140" s="180">
        <f t="shared" si="293"/>
        <v>80</v>
      </c>
      <c r="CC140" s="180">
        <f t="shared" si="293"/>
        <v>81</v>
      </c>
      <c r="CD140" s="180">
        <f t="shared" si="293"/>
        <v>82</v>
      </c>
      <c r="CE140" s="180">
        <f t="shared" si="293"/>
        <v>83</v>
      </c>
      <c r="CF140" s="180">
        <f t="shared" si="293"/>
        <v>84</v>
      </c>
      <c r="CG140" s="180">
        <f t="shared" si="293"/>
        <v>85</v>
      </c>
      <c r="CH140" s="180">
        <f t="shared" si="293"/>
        <v>86</v>
      </c>
      <c r="CI140" s="180">
        <f t="shared" si="293"/>
        <v>87</v>
      </c>
      <c r="CJ140" s="180">
        <f t="shared" si="293"/>
        <v>88</v>
      </c>
      <c r="CK140" s="180">
        <f t="shared" si="293"/>
        <v>89</v>
      </c>
      <c r="CL140" s="180">
        <f t="shared" si="293"/>
        <v>90</v>
      </c>
      <c r="CM140" s="180">
        <f t="shared" si="293"/>
        <v>91</v>
      </c>
      <c r="CN140" s="180">
        <f t="shared" si="293"/>
        <v>92</v>
      </c>
      <c r="CO140" s="180">
        <f t="shared" si="293"/>
        <v>93</v>
      </c>
      <c r="CP140" s="180">
        <f t="shared" si="293"/>
        <v>94</v>
      </c>
      <c r="CQ140" s="180">
        <f t="shared" si="293"/>
        <v>95</v>
      </c>
      <c r="CR140" s="180">
        <f t="shared" si="293"/>
        <v>96</v>
      </c>
      <c r="CS140" s="180">
        <f t="shared" si="293"/>
        <v>97</v>
      </c>
      <c r="CT140" s="180">
        <f t="shared" si="293"/>
        <v>98</v>
      </c>
      <c r="CU140" s="180">
        <f t="shared" si="293"/>
        <v>99</v>
      </c>
      <c r="CV140" s="180">
        <f t="shared" ref="CV140" si="294">CU140+1</f>
        <v>100</v>
      </c>
      <c r="CW140" s="180">
        <f t="shared" ref="CW140" si="295">CV140+1</f>
        <v>101</v>
      </c>
      <c r="CX140" s="180">
        <f t="shared" ref="CX140" si="296">CW140+1</f>
        <v>102</v>
      </c>
      <c r="CY140" s="180">
        <f t="shared" ref="CY140" si="297">CX140+1</f>
        <v>103</v>
      </c>
      <c r="CZ140" s="180">
        <f t="shared" si="293"/>
        <v>104</v>
      </c>
      <c r="DA140" s="180">
        <f t="shared" si="293"/>
        <v>105</v>
      </c>
      <c r="DB140" s="180">
        <f t="shared" ref="DB140" si="298">DA140+1</f>
        <v>106</v>
      </c>
      <c r="DC140" s="180">
        <f t="shared" ref="DC140" si="299">DB140+1</f>
        <v>107</v>
      </c>
      <c r="DD140" s="180">
        <f t="shared" ref="DD140" si="300">DC140+1</f>
        <v>108</v>
      </c>
      <c r="DE140" s="180">
        <f t="shared" ref="DE140" si="301">DD140+1</f>
        <v>109</v>
      </c>
      <c r="DF140" s="180">
        <f t="shared" ref="DF140" si="302">DE140+1</f>
        <v>110</v>
      </c>
      <c r="DG140" s="180">
        <f t="shared" ref="DG140" si="303">DF140+1</f>
        <v>111</v>
      </c>
      <c r="DH140" s="180">
        <f t="shared" ref="DH140" si="304">DG140+1</f>
        <v>112</v>
      </c>
      <c r="DI140" s="180">
        <f t="shared" ref="DI140" si="305">DH140+1</f>
        <v>113</v>
      </c>
      <c r="DJ140" s="180">
        <f t="shared" ref="DJ140" si="306">DI140+1</f>
        <v>114</v>
      </c>
      <c r="DK140" s="180">
        <f t="shared" ref="DK140" si="307">DJ140+1</f>
        <v>115</v>
      </c>
      <c r="DL140" s="180">
        <f t="shared" ref="DL140" si="308">DK140+1</f>
        <v>116</v>
      </c>
      <c r="DM140" s="180">
        <f t="shared" ref="DM140" si="309">DL140+1</f>
        <v>117</v>
      </c>
      <c r="DN140" s="180">
        <f t="shared" ref="DN140" si="310">DM140+1</f>
        <v>118</v>
      </c>
      <c r="DO140" s="180">
        <f t="shared" ref="DO140" si="311">DN140+1</f>
        <v>119</v>
      </c>
      <c r="DP140" s="180">
        <f t="shared" ref="DP140" si="312">DO140+1</f>
        <v>120</v>
      </c>
      <c r="DQ140" s="180">
        <f t="shared" ref="DQ140" si="313">DP140+1</f>
        <v>121</v>
      </c>
      <c r="DR140" s="180">
        <f t="shared" ref="DR140" si="314">DQ140+1</f>
        <v>122</v>
      </c>
      <c r="DS140" s="180">
        <f t="shared" ref="DS140" si="315">DR140+1</f>
        <v>123</v>
      </c>
      <c r="DT140" s="180">
        <f t="shared" ref="DT140" si="316">DS140+1</f>
        <v>124</v>
      </c>
      <c r="DU140" s="180">
        <f t="shared" ref="DU140" si="317">DT140+1</f>
        <v>125</v>
      </c>
      <c r="DV140" s="180">
        <f t="shared" ref="DV140" si="318">DU140+1</f>
        <v>126</v>
      </c>
      <c r="DW140" s="180">
        <f t="shared" si="293"/>
        <v>127</v>
      </c>
      <c r="DX140" s="180">
        <f t="shared" si="293"/>
        <v>128</v>
      </c>
      <c r="DZ140" s="180">
        <v>1</v>
      </c>
      <c r="EA140" s="180">
        <f t="shared" ref="EA140:EB140" si="319">DZ140+1</f>
        <v>2</v>
      </c>
      <c r="EB140" s="180">
        <f t="shared" si="319"/>
        <v>3</v>
      </c>
    </row>
    <row r="141" spans="1:132" s="32" customFormat="1" ht="14" outlineLevel="1">
      <c r="A141" s="193"/>
      <c r="B141" s="253" t="str">
        <f>A138</f>
        <v>Swap Payments</v>
      </c>
      <c r="C141" s="253"/>
      <c r="D141" s="253"/>
      <c r="E141" s="253"/>
      <c r="R141" s="5"/>
      <c r="S141" s="5"/>
      <c r="T141" s="5"/>
      <c r="U141" s="5"/>
      <c r="V141" s="5"/>
      <c r="X141" s="5"/>
      <c r="Y141" s="5"/>
      <c r="Z141" s="5"/>
      <c r="AA141" s="5"/>
      <c r="BQ141" s="124"/>
      <c r="BX141" s="124"/>
      <c r="CB141" s="124"/>
      <c r="CJ141" s="124"/>
    </row>
    <row r="142" spans="1:132" s="33" customFormat="1" ht="14" outlineLevel="1">
      <c r="A142" s="2"/>
      <c r="B142" s="3" t="s">
        <v>201</v>
      </c>
      <c r="C142" s="3" t="s">
        <v>202</v>
      </c>
      <c r="F142" s="150"/>
      <c r="G142" s="150"/>
      <c r="H142" s="150"/>
      <c r="I142" s="150"/>
      <c r="J142" s="150"/>
      <c r="K142" s="150"/>
      <c r="L142" s="3" t="s">
        <v>100</v>
      </c>
      <c r="M142" s="242" t="str">
        <f>M185</f>
        <v>1997 B Series</v>
      </c>
      <c r="N142" s="242"/>
      <c r="O142" s="242"/>
      <c r="P142" s="153"/>
      <c r="Q142" s="242" t="str">
        <f>Q185</f>
        <v>1997 C Series</v>
      </c>
      <c r="R142" s="242"/>
      <c r="S142" s="242"/>
      <c r="T142" s="153"/>
      <c r="U142" s="242" t="str">
        <f>U185</f>
        <v>1997 Series</v>
      </c>
      <c r="V142" s="242"/>
      <c r="W142" s="5"/>
      <c r="X142" s="243" t="str">
        <f>X$52</f>
        <v>1998 A Series</v>
      </c>
      <c r="Y142" s="243"/>
      <c r="Z142" s="243"/>
      <c r="AA142" s="5"/>
      <c r="AB142" s="244" t="str">
        <f>AB$52</f>
        <v>2002 C Series</v>
      </c>
      <c r="AC142" s="244"/>
      <c r="AD142" s="244"/>
      <c r="AE142" s="5"/>
      <c r="AF142" s="241" t="str">
        <f>AF$52</f>
        <v>2007 A Series</v>
      </c>
      <c r="AG142" s="241"/>
      <c r="AH142" s="241"/>
      <c r="AI142" s="148"/>
      <c r="AJ142" s="241" t="str">
        <f>AJ$52</f>
        <v>2007 B Series</v>
      </c>
      <c r="AK142" s="241"/>
      <c r="AL142" s="241"/>
      <c r="AM142" s="148"/>
      <c r="AN142" s="241" t="str">
        <f>AN$52</f>
        <v>2007 C1 Series</v>
      </c>
      <c r="AO142" s="241"/>
      <c r="AP142" s="241"/>
      <c r="AQ142" s="148"/>
      <c r="AR142" s="241" t="str">
        <f>AR$52</f>
        <v>2007 C2 Series</v>
      </c>
      <c r="AS142" s="241"/>
      <c r="AT142" s="241"/>
      <c r="AU142" s="148"/>
      <c r="AV142" s="252" t="str">
        <f>AV$52</f>
        <v>2007 Series</v>
      </c>
      <c r="AW142" s="252"/>
      <c r="AX142" s="3"/>
      <c r="AY142" s="246" t="str">
        <f>AY$52</f>
        <v>2018 A Series</v>
      </c>
      <c r="AZ142" s="246"/>
      <c r="BA142" s="246"/>
      <c r="BB142" s="156"/>
      <c r="BC142" s="246" t="str">
        <f>BC$52</f>
        <v>2018 D Series</v>
      </c>
      <c r="BD142" s="246"/>
      <c r="BE142" s="246"/>
      <c r="BF142" s="156"/>
      <c r="BG142" s="246" t="str">
        <f>BG$52</f>
        <v>2018 E Series</v>
      </c>
      <c r="BH142" s="246"/>
      <c r="BI142" s="246"/>
      <c r="BJ142" s="156"/>
      <c r="BK142" s="247" t="str">
        <f>BK$52</f>
        <v>2018 Series</v>
      </c>
      <c r="BL142" s="247"/>
      <c r="BM142" s="5"/>
      <c r="BN142" s="248" t="str">
        <f>BN$52</f>
        <v>2020 B Series</v>
      </c>
      <c r="BO142" s="248"/>
      <c r="BP142" s="248"/>
      <c r="BQ142" s="158"/>
      <c r="BR142" s="248" t="str">
        <f>BR$52</f>
        <v>2020 D Series</v>
      </c>
      <c r="BS142" s="248"/>
      <c r="BT142" s="248"/>
      <c r="BU142" s="159"/>
      <c r="BV142" s="248" t="str">
        <f>BV$52</f>
        <v>2020 BCD Series</v>
      </c>
      <c r="BW142" s="248"/>
      <c r="BX142" s="124"/>
      <c r="BY142" s="251" t="str">
        <f>BY$52</f>
        <v>2021 A Series</v>
      </c>
      <c r="BZ142" s="251"/>
      <c r="CA142" s="251"/>
      <c r="CB142" s="124"/>
      <c r="CC142" s="240" t="str">
        <f>CC$52</f>
        <v>2022 A Series</v>
      </c>
      <c r="CD142" s="240"/>
      <c r="CE142" s="240"/>
      <c r="CF142" s="160"/>
      <c r="CG142" s="240" t="str">
        <f>CG$52</f>
        <v>2022 B Series</v>
      </c>
      <c r="CH142" s="240"/>
      <c r="CI142" s="240"/>
      <c r="CJ142" s="160"/>
      <c r="CK142" s="240" t="str">
        <f>CK$52</f>
        <v>2022 C Series</v>
      </c>
      <c r="CL142" s="240"/>
      <c r="CM142" s="240"/>
      <c r="CN142" s="161"/>
      <c r="CO142" s="240" t="str">
        <f>CO$52</f>
        <v>2022 ABC Series</v>
      </c>
      <c r="CP142" s="240"/>
      <c r="CQ142" s="32"/>
      <c r="CR142" s="249" t="str">
        <f>CR$52</f>
        <v>2022 D Series</v>
      </c>
      <c r="CS142" s="249"/>
      <c r="CT142" s="249"/>
      <c r="CU142" s="163"/>
      <c r="CV142" s="249" t="str">
        <f>CV$52</f>
        <v>2022 E Series</v>
      </c>
      <c r="CW142" s="249"/>
      <c r="CX142" s="249"/>
      <c r="CY142" s="149"/>
      <c r="CZ142" s="249" t="str">
        <f>CZ$52</f>
        <v>2022 DE Series</v>
      </c>
      <c r="DA142" s="249"/>
      <c r="DB142" s="149"/>
      <c r="DC142" s="248" t="str">
        <f>DC$52</f>
        <v>2023 Series</v>
      </c>
      <c r="DD142" s="248"/>
      <c r="DE142" s="248"/>
      <c r="DF142" s="32"/>
      <c r="DG142" s="248" t="str">
        <f>DG$52</f>
        <v>2024 Series</v>
      </c>
      <c r="DH142" s="248"/>
      <c r="DI142" s="248"/>
      <c r="DJ142" s="152"/>
      <c r="DK142" s="248" t="str">
        <f>DK$52</f>
        <v>2025 Series</v>
      </c>
      <c r="DL142" s="248"/>
      <c r="DM142" s="248"/>
      <c r="DN142" s="152"/>
      <c r="DO142" s="248" t="str">
        <f>DO$52</f>
        <v>2026 Series</v>
      </c>
      <c r="DP142" s="248"/>
      <c r="DQ142" s="248"/>
      <c r="DR142" s="32"/>
      <c r="DS142" s="248" t="str">
        <f>DS$52</f>
        <v>2027 Series</v>
      </c>
      <c r="DT142" s="248"/>
      <c r="DU142" s="248"/>
      <c r="DV142" s="5"/>
      <c r="DW142" s="256" t="s">
        <v>173</v>
      </c>
      <c r="DX142" s="256"/>
      <c r="DZ142" s="264" t="s">
        <v>180</v>
      </c>
      <c r="EA142" s="264"/>
      <c r="EB142" s="264"/>
    </row>
    <row r="143" spans="1:132" s="33" customFormat="1" ht="14" outlineLevel="1">
      <c r="A143" s="4" t="s">
        <v>4</v>
      </c>
      <c r="B143" s="5" t="s">
        <v>169</v>
      </c>
      <c r="C143" s="5" t="s">
        <v>169</v>
      </c>
      <c r="D143" s="5" t="s">
        <v>16</v>
      </c>
      <c r="E143" s="5" t="s">
        <v>169</v>
      </c>
      <c r="F143" s="4"/>
      <c r="G143" s="4"/>
      <c r="H143" s="4"/>
      <c r="I143" s="4"/>
      <c r="J143" s="4"/>
      <c r="K143" s="4"/>
      <c r="L143" s="5" t="s">
        <v>101</v>
      </c>
      <c r="M143" s="153" t="s">
        <v>13</v>
      </c>
      <c r="N143" s="153" t="s">
        <v>12</v>
      </c>
      <c r="O143" s="153" t="s">
        <v>176</v>
      </c>
      <c r="P143" s="153"/>
      <c r="Q143" s="153" t="s">
        <v>13</v>
      </c>
      <c r="R143" s="153" t="s">
        <v>12</v>
      </c>
      <c r="S143" s="153" t="s">
        <v>176</v>
      </c>
      <c r="T143" s="153"/>
      <c r="U143" s="153" t="s">
        <v>13</v>
      </c>
      <c r="V143" s="153" t="s">
        <v>176</v>
      </c>
      <c r="W143" s="5"/>
      <c r="X143" s="130" t="s">
        <v>13</v>
      </c>
      <c r="Y143" s="130" t="s">
        <v>12</v>
      </c>
      <c r="Z143" s="130" t="s">
        <v>176</v>
      </c>
      <c r="AA143" s="5"/>
      <c r="AB143" s="154" t="s">
        <v>13</v>
      </c>
      <c r="AC143" s="154" t="s">
        <v>12</v>
      </c>
      <c r="AD143" s="154" t="s">
        <v>176</v>
      </c>
      <c r="AE143" s="5"/>
      <c r="AF143" s="148" t="s">
        <v>13</v>
      </c>
      <c r="AG143" s="148" t="s">
        <v>12</v>
      </c>
      <c r="AH143" s="148" t="s">
        <v>176</v>
      </c>
      <c r="AI143" s="148"/>
      <c r="AJ143" s="148"/>
      <c r="AK143" s="148"/>
      <c r="AL143" s="148"/>
      <c r="AM143" s="148"/>
      <c r="AN143" s="148" t="s">
        <v>13</v>
      </c>
      <c r="AO143" s="148" t="s">
        <v>12</v>
      </c>
      <c r="AP143" s="148" t="s">
        <v>176</v>
      </c>
      <c r="AQ143" s="148"/>
      <c r="AR143" s="148" t="s">
        <v>13</v>
      </c>
      <c r="AS143" s="148" t="s">
        <v>12</v>
      </c>
      <c r="AT143" s="148" t="s">
        <v>176</v>
      </c>
      <c r="AU143" s="148"/>
      <c r="AV143" s="148" t="s">
        <v>13</v>
      </c>
      <c r="AW143" s="148" t="s">
        <v>176</v>
      </c>
      <c r="AX143" s="82"/>
      <c r="AY143" s="157" t="s">
        <v>13</v>
      </c>
      <c r="AZ143" s="157" t="s">
        <v>12</v>
      </c>
      <c r="BA143" s="157" t="s">
        <v>176</v>
      </c>
      <c r="BB143" s="156"/>
      <c r="BC143" s="157" t="s">
        <v>13</v>
      </c>
      <c r="BD143" s="157" t="s">
        <v>12</v>
      </c>
      <c r="BE143" s="157" t="s">
        <v>176</v>
      </c>
      <c r="BF143" s="156"/>
      <c r="BG143" s="157" t="s">
        <v>13</v>
      </c>
      <c r="BH143" s="157" t="s">
        <v>12</v>
      </c>
      <c r="BI143" s="157" t="s">
        <v>176</v>
      </c>
      <c r="BJ143" s="156"/>
      <c r="BK143" s="157" t="s">
        <v>13</v>
      </c>
      <c r="BL143" s="157" t="s">
        <v>176</v>
      </c>
      <c r="BM143" s="5"/>
      <c r="BN143" s="152" t="s">
        <v>13</v>
      </c>
      <c r="BO143" s="152" t="s">
        <v>12</v>
      </c>
      <c r="BP143" s="152" t="s">
        <v>176</v>
      </c>
      <c r="BQ143" s="158"/>
      <c r="BR143" s="152"/>
      <c r="BS143" s="152"/>
      <c r="BT143" s="152"/>
      <c r="BU143" s="159"/>
      <c r="BV143" s="152" t="s">
        <v>13</v>
      </c>
      <c r="BW143" s="152" t="s">
        <v>176</v>
      </c>
      <c r="BX143" s="124"/>
      <c r="BY143" s="44" t="s">
        <v>13</v>
      </c>
      <c r="BZ143" s="44" t="s">
        <v>12</v>
      </c>
      <c r="CA143" s="44" t="s">
        <v>176</v>
      </c>
      <c r="CB143" s="124"/>
      <c r="CC143" s="161" t="s">
        <v>13</v>
      </c>
      <c r="CD143" s="161" t="s">
        <v>12</v>
      </c>
      <c r="CE143" s="161" t="s">
        <v>176</v>
      </c>
      <c r="CF143" s="160"/>
      <c r="CG143" s="161"/>
      <c r="CH143" s="161"/>
      <c r="CI143" s="161"/>
      <c r="CJ143" s="160"/>
      <c r="CK143" s="161" t="s">
        <v>13</v>
      </c>
      <c r="CL143" s="161" t="s">
        <v>12</v>
      </c>
      <c r="CM143" s="161" t="s">
        <v>14</v>
      </c>
      <c r="CN143" s="161"/>
      <c r="CO143" s="161" t="s">
        <v>13</v>
      </c>
      <c r="CP143" s="161" t="s">
        <v>176</v>
      </c>
      <c r="CQ143" s="32"/>
      <c r="CR143" s="149" t="s">
        <v>13</v>
      </c>
      <c r="CS143" s="149" t="s">
        <v>12</v>
      </c>
      <c r="CT143" s="149" t="s">
        <v>176</v>
      </c>
      <c r="CU143" s="163"/>
      <c r="CV143" s="149" t="s">
        <v>13</v>
      </c>
      <c r="CW143" s="149" t="s">
        <v>12</v>
      </c>
      <c r="CX143" s="149" t="s">
        <v>5</v>
      </c>
      <c r="CY143" s="149"/>
      <c r="CZ143" s="149" t="s">
        <v>13</v>
      </c>
      <c r="DA143" s="149" t="s">
        <v>176</v>
      </c>
      <c r="DB143" s="149"/>
      <c r="DC143" s="152" t="s">
        <v>13</v>
      </c>
      <c r="DD143" s="152" t="s">
        <v>12</v>
      </c>
      <c r="DE143" s="152" t="s">
        <v>5</v>
      </c>
      <c r="DF143" s="32"/>
      <c r="DG143" s="152" t="s">
        <v>13</v>
      </c>
      <c r="DH143" s="152" t="s">
        <v>12</v>
      </c>
      <c r="DI143" s="152" t="s">
        <v>5</v>
      </c>
      <c r="DJ143" s="152"/>
      <c r="DK143" s="152" t="s">
        <v>13</v>
      </c>
      <c r="DL143" s="152" t="s">
        <v>12</v>
      </c>
      <c r="DM143" s="152" t="s">
        <v>5</v>
      </c>
      <c r="DN143" s="152"/>
      <c r="DO143" s="152" t="s">
        <v>13</v>
      </c>
      <c r="DP143" s="152" t="s">
        <v>12</v>
      </c>
      <c r="DQ143" s="152" t="s">
        <v>5</v>
      </c>
      <c r="DR143" s="32"/>
      <c r="DS143" s="152" t="s">
        <v>13</v>
      </c>
      <c r="DT143" s="152" t="s">
        <v>12</v>
      </c>
      <c r="DU143" s="152" t="s">
        <v>5</v>
      </c>
      <c r="DV143" s="5"/>
      <c r="DW143" s="197" t="s">
        <v>13</v>
      </c>
      <c r="DX143" s="197" t="s">
        <v>176</v>
      </c>
      <c r="DZ143" s="44" t="s">
        <v>4</v>
      </c>
      <c r="EA143" s="44" t="s">
        <v>187</v>
      </c>
      <c r="EB143" s="44" t="s">
        <v>176</v>
      </c>
    </row>
    <row r="144" spans="1:132" s="6" customFormat="1" outlineLevel="1">
      <c r="Z144" s="87"/>
      <c r="AA144" s="87"/>
      <c r="BO144" s="77"/>
      <c r="BS144" s="77"/>
      <c r="BZ144" s="77"/>
      <c r="CD144" s="77"/>
      <c r="CH144" s="77"/>
      <c r="CL144" s="77"/>
    </row>
    <row r="145" spans="1:134" s="33" customFormat="1" outlineLevel="1">
      <c r="A145" s="7">
        <f>A$11</f>
        <v>2024</v>
      </c>
      <c r="B145" s="151">
        <f>Assumptions!B8</f>
        <v>5.3800000000000001E-2</v>
      </c>
      <c r="C145" s="151">
        <f>Assumptions!C8</f>
        <v>5.3800000000000001E-2</v>
      </c>
      <c r="D145" s="151">
        <f>Assumptions!D8</f>
        <v>3.5000000000000003E-2</v>
      </c>
      <c r="E145" s="151">
        <f>Assumptions!E8</f>
        <v>5.2999999999999999E-2</v>
      </c>
      <c r="F145" s="8"/>
      <c r="G145" s="8"/>
      <c r="H145" s="8"/>
      <c r="I145" s="8"/>
      <c r="J145" s="8"/>
      <c r="K145" s="8"/>
      <c r="L145" s="8"/>
      <c r="M145" s="87">
        <f t="shared" ref="M145:M181" si="320">M81</f>
        <v>0</v>
      </c>
      <c r="N145" s="77">
        <f t="shared" ref="N145:N181" si="321">IF($A145&gt;M$191, "   ", $D145*M$188+M$189)</f>
        <v>3.5000000000000003E-2</v>
      </c>
      <c r="O145" s="87">
        <f>IF($A145&gt;M$191, 0, IF($A145=M$191, N145*SUM(M145:M$181)*M$194/M$195, SUM(M145:M$181)*N145))</f>
        <v>238525.00000000003</v>
      </c>
      <c r="P145" s="35"/>
      <c r="Q145" s="87">
        <f t="shared" ref="Q145:Q181" si="322">Q81</f>
        <v>0</v>
      </c>
      <c r="R145" s="77">
        <f t="shared" ref="R145:R181" si="323">IF($A145&gt;Q$191, "   ", $D145*Q$188+Q$189)</f>
        <v>3.5000000000000003E-2</v>
      </c>
      <c r="S145" s="87">
        <f>IF($A145&gt;Q$191, 0, IF($A145=Q$191, R145*SUM(Q145:Q$181)*Q$194/Q$195, SUM(Q145:Q$181)*R145))</f>
        <v>350000.00000000006</v>
      </c>
      <c r="T145" s="35"/>
      <c r="U145" s="35">
        <f t="shared" ref="U145:U175" si="324">M145+Q145</f>
        <v>0</v>
      </c>
      <c r="V145" s="35">
        <f t="shared" ref="V145:V175" si="325">O145+S145</f>
        <v>588525.00000000012</v>
      </c>
      <c r="W145" s="35"/>
      <c r="X145" s="87">
        <f t="shared" ref="X145:X181" si="326">X81</f>
        <v>0</v>
      </c>
      <c r="Y145" s="77">
        <f t="shared" ref="Y145:Y181" si="327">IF($A145&gt;X$191, "   ", $D145*X$188+X$189)</f>
        <v>3.0056000000000003E-2</v>
      </c>
      <c r="Z145" s="87">
        <f>IF($A145&gt;X$191, 0, IF($A145=X$191, Y145*SUM(X145:X$181)*X$194/X$195, SUM(X145:X$181)*Y145))</f>
        <v>6598343.9600000009</v>
      </c>
      <c r="AA145" s="87"/>
      <c r="AB145" s="87">
        <f t="shared" ref="AB145:AB181" si="328">AB81</f>
        <v>0</v>
      </c>
      <c r="AC145" s="77">
        <f t="shared" ref="AC145:AC181" si="329">IF($A145&gt;AB$191, "   ", $D145*AB$188+AB$189)</f>
        <v>3.5000000000000003E-2</v>
      </c>
      <c r="AD145" s="87">
        <f>IF($A145&gt;AB$191, 0, IF($A145=AB$191, AC145*SUM(AB145:AB$181)*AB$194/AB$195, SUM(AB145:AB$181)*AC145))</f>
        <v>4375000</v>
      </c>
      <c r="AE145" s="35"/>
      <c r="AF145" s="87">
        <f t="shared" ref="AF145:AF181" si="330">AF81</f>
        <v>0</v>
      </c>
      <c r="AG145" s="77">
        <f t="shared" ref="AG145:AG181" si="331">IF($A145&gt;AF$191, "   ", $D145*AF$188+AF$189)</f>
        <v>3.5000000000000003E-2</v>
      </c>
      <c r="AH145" s="87">
        <f>IF($A145&gt;AF$191, 0, IF($A145=AF$191, AG145*SUM(AF145:AF$181)*AF$194/AF$195, SUM(AF145:AF$181)*AG145))</f>
        <v>350000.00000000006</v>
      </c>
      <c r="AI145" s="35"/>
      <c r="AJ145" s="87"/>
      <c r="AK145" s="77"/>
      <c r="AL145" s="87"/>
      <c r="AM145" s="35"/>
      <c r="AN145" s="87">
        <f t="shared" ref="AN145:AN181" si="332">AN81</f>
        <v>0</v>
      </c>
      <c r="AO145" s="77">
        <f t="shared" ref="AO145:AO181" si="333">IF($A145&gt;AN$191, "   ", $D145*AN$188+AN$189)</f>
        <v>3.8280000000000002E-2</v>
      </c>
      <c r="AP145" s="87">
        <f>IF($A145&gt;AN$191, 0, IF($A145=AN$191, AO145*SUM(AN145:AN$181)*AN$194/AN$195, SUM(AN145:AN$181)*AO145))</f>
        <v>1914000</v>
      </c>
      <c r="AQ145" s="35"/>
      <c r="AR145" s="87">
        <f t="shared" ref="AR145:AR181" si="334">AR81</f>
        <v>0</v>
      </c>
      <c r="AS145" s="77">
        <f t="shared" ref="AS145:AS181" si="335">IF($A145&gt;AR$191, "   ", $D145*AR$188+AR$189)</f>
        <v>3.8460000000000001E-2</v>
      </c>
      <c r="AT145" s="87">
        <f>IF($A145&gt;AR$191, 0, IF($A145=AR$191, AS145*SUM(AR145:AR$181)*AR$194/AR$195, SUM(AR145:AR$181)*AS145))</f>
        <v>1923000</v>
      </c>
      <c r="AV145" s="35">
        <f t="shared" ref="AV145:AV175" si="336">AF145+AJ145+AN145+AR145</f>
        <v>0</v>
      </c>
      <c r="AW145" s="35">
        <f t="shared" ref="AW145:AW175" si="337">AH145+AL145+AP145+AT145</f>
        <v>4187000</v>
      </c>
      <c r="AX145" s="35"/>
      <c r="AY145" s="87">
        <f t="shared" ref="AY145:AY181" si="338">AY81</f>
        <v>0</v>
      </c>
      <c r="AZ145" s="77">
        <f t="shared" ref="AZ145:AZ181" si="339">IF($A145&gt;AY$191, "   ", $D145*AY$188+AY$189)</f>
        <v>3.5000000000000003E-2</v>
      </c>
      <c r="BA145" s="87">
        <f>IF($A145&gt;AY$191, 0, IF($A145=AY$191, AZ145*SUM(AY145:AY$181)*AY$194/AY$195, SUM(AY145:AY$181)*AZ145))</f>
        <v>350000.00000000006</v>
      </c>
      <c r="BB145" s="61"/>
      <c r="BC145" s="87">
        <f t="shared" ref="BC145:BC181" si="340">BC81</f>
        <v>0</v>
      </c>
      <c r="BD145" s="77">
        <f t="shared" ref="BD145:BD181" si="341">IF($A145&gt;BC$191, "   ", $D145*BC$188+BC$189)</f>
        <v>3.5000000000000003E-2</v>
      </c>
      <c r="BE145" s="87">
        <f>IF($A145&gt;BC$191, 0, IF($A145=BC$191, BD145*SUM(BC145:BC$181)*BC$194/BC$195, SUM(BC145:BC$181)*BD145))</f>
        <v>1050000</v>
      </c>
      <c r="BF145" s="61"/>
      <c r="BG145" s="87">
        <f t="shared" ref="BG145:BG181" si="342">BG81</f>
        <v>0</v>
      </c>
      <c r="BH145" s="77">
        <f t="shared" ref="BH145:BH181" si="343">IF($A145&gt;BG$191, "   ", $D145*BG$188+BG$189)</f>
        <v>3.5000000000000003E-2</v>
      </c>
      <c r="BI145" s="87">
        <f>IF($A145&gt;BG$191, 0, IF($A145=BG$191, BH145*SUM(BG145:BG$181)*BG$194/BG$195, SUM(BG145:BG$181)*BH145))</f>
        <v>2625000.0000000005</v>
      </c>
      <c r="BJ145" s="61"/>
      <c r="BK145" s="35">
        <f>AY145+BC145+BG145</f>
        <v>0</v>
      </c>
      <c r="BL145" s="35">
        <f>BA145+BE145+BI145</f>
        <v>4025000.0000000005</v>
      </c>
      <c r="BM145" s="8"/>
      <c r="BN145" s="87">
        <f t="shared" ref="BN145:BN181" si="344">BN81</f>
        <v>50000000</v>
      </c>
      <c r="BO145" s="77">
        <f t="shared" ref="BO145:BO181" si="345">IF($A145&gt;BN$191, "   ", $D145*BN$188+BN$189)</f>
        <v>3.7890000000000007E-2</v>
      </c>
      <c r="BP145" s="87">
        <f>IF($A145&gt;BN$191, 0, IF($A145=BN$191, BO145*SUM(BN145:BN$181)*BN$194/BN$195, SUM(BN145:BN$181)*BO145))</f>
        <v>1736625.0000000002</v>
      </c>
      <c r="BQ145" s="77"/>
      <c r="BR145" s="87"/>
      <c r="BS145" s="77"/>
      <c r="BT145" s="87"/>
      <c r="BU145" s="87"/>
      <c r="BV145" s="35">
        <f>BN145+BR145</f>
        <v>50000000</v>
      </c>
      <c r="BW145" s="35">
        <f>BP145+BT145</f>
        <v>1736625.0000000002</v>
      </c>
      <c r="BX145" s="87"/>
      <c r="BY145" s="87">
        <f t="shared" ref="BY145:BY181" si="346">BY81</f>
        <v>0</v>
      </c>
      <c r="BZ145" s="77">
        <f t="shared" ref="BZ145:BZ181" si="347">IF($A145&gt;BY$191, "   ", $D145*BY$188+BY$189)</f>
        <v>3.5000000000000003E-2</v>
      </c>
      <c r="CA145" s="87">
        <f>IF($A145&gt;BY$191, 0, IF($A145=BY$191, BZ145*SUM(BY145:BY$181)*BY$194/BY$195, SUM(BY145:BY$181)*BZ145))</f>
        <v>1575000.0000000002</v>
      </c>
      <c r="CB145" s="87"/>
      <c r="CC145" s="87">
        <f t="shared" ref="CC145:CC181" si="348">CC81</f>
        <v>0</v>
      </c>
      <c r="CD145" s="77">
        <f t="shared" ref="CD145:CD181" si="349">IF($A145&gt;CC$191, "   ", $D145*CC$188+CC$189)</f>
        <v>3.5000000000000003E-2</v>
      </c>
      <c r="CE145" s="87">
        <f>IF($A145&gt;CC$191, 0, IF($A145=CC$191, CD145*SUM(CC145:CC$181)*CC$194/CC$195, SUM(CC145:CC$181)*CD145))</f>
        <v>175000.00000000003</v>
      </c>
      <c r="CF145" s="87"/>
      <c r="CG145" s="87"/>
      <c r="CH145" s="77"/>
      <c r="CI145" s="87"/>
      <c r="CJ145" s="87"/>
      <c r="CK145" s="87">
        <f t="shared" ref="CK145:CK181" si="350">CK81</f>
        <v>0</v>
      </c>
      <c r="CL145" s="77">
        <f t="shared" ref="CL145:CL181" si="351">IF($A145&gt;CK$191, "   ", $D145*CK$188+CK$189)</f>
        <v>3.5000000000000003E-2</v>
      </c>
      <c r="CM145" s="87">
        <f>IF($A145&gt;CK$191, 0, IF($A145=CK$191, CL145*SUM(CK145:CK$181)*CK$194/CK$195, SUM(CK145:CK$181)*CL145))</f>
        <v>2625000.0000000005</v>
      </c>
      <c r="CN145" s="8"/>
      <c r="CO145" s="162">
        <f t="shared" ref="CO145:CO181" si="352">CC145+CG145+CK145</f>
        <v>0</v>
      </c>
      <c r="CP145" s="87">
        <f t="shared" ref="CP145:CP181" si="353">CE145+CI145+CM145</f>
        <v>2800000.0000000005</v>
      </c>
      <c r="CQ145" s="6"/>
      <c r="CR145" s="87">
        <f t="shared" ref="CR145:CR181" si="354">CR81</f>
        <v>0</v>
      </c>
      <c r="CS145" s="77">
        <f t="shared" ref="CS145:CS181" si="355">IF($A145&gt;CR$191, "   ", $D145*CR$188+CR$189)</f>
        <v>3.5000000000000003E-2</v>
      </c>
      <c r="CT145" s="87">
        <f>IF($A145&gt;CR$191, 0, IF($A145=CR$191, CS145*SUM(CR145:CR$181)*CR$194/CR$195, SUM(CR145:CR$181)*CS145))</f>
        <v>770000.00000000012</v>
      </c>
      <c r="CZ145" s="165">
        <f t="shared" ref="CZ145:CZ181" si="356">CR145+CV145</f>
        <v>0</v>
      </c>
      <c r="DA145" s="165">
        <f t="shared" ref="DA145:DA181" si="357">CT145+CX145</f>
        <v>770000.00000000012</v>
      </c>
      <c r="DB145" s="87"/>
      <c r="DC145" s="87">
        <f t="shared" ref="DC145:DC181" si="358">DC81</f>
        <v>0</v>
      </c>
      <c r="DD145" s="77">
        <f t="shared" ref="DD145:DD181" si="359">IF($A145&gt;DC$191, "   ", $D145*DC$188+DC$189)</f>
        <v>3.5000000000000003E-2</v>
      </c>
      <c r="DE145" s="141">
        <f>IF($A145&gt;DC$191, 0, IF($A145=DC$191, DD145*SUM(DC145:DC$181)*DC$194/DC$195, SUM(DC145:DC$181)*DD145))*10.5/12</f>
        <v>4319043.7500000009</v>
      </c>
      <c r="DF145" s="87"/>
      <c r="DG145" s="87"/>
      <c r="DH145" s="87"/>
      <c r="DI145" s="87"/>
      <c r="DJ145" s="87"/>
      <c r="DK145" s="87"/>
      <c r="DL145" s="87"/>
      <c r="DM145" s="87"/>
      <c r="DN145" s="87"/>
      <c r="DO145" s="87"/>
      <c r="DP145" s="87"/>
      <c r="DQ145" s="87"/>
      <c r="DR145" s="87"/>
      <c r="DS145" s="87"/>
      <c r="DT145" s="87"/>
      <c r="DU145" s="87"/>
      <c r="DW145" s="165">
        <f>AV145+BK145+BV145+BY145+CO145+CZ145+DC145+DG145+DK145+DO145+DS145</f>
        <v>50000000</v>
      </c>
      <c r="DX145" s="165">
        <f>AW145+BL145+BW145+CA145+CP145+DA145+DE145+DI145+DM145+DQ145+DU145</f>
        <v>19412668.75</v>
      </c>
      <c r="DY145" s="8"/>
      <c r="DZ145" s="53">
        <f t="shared" ref="DZ145:DZ181" si="360">A145</f>
        <v>2024</v>
      </c>
      <c r="EA145" s="35">
        <f t="shared" ref="EA145:EA181" si="361">U145+X145+AB145+DW145</f>
        <v>50000000</v>
      </c>
      <c r="EB145" s="35">
        <f t="shared" ref="EB145:EB181" si="362">V145+Z145+AD145+DX145</f>
        <v>30974537.710000001</v>
      </c>
      <c r="ED145" s="206">
        <v>1</v>
      </c>
    </row>
    <row r="146" spans="1:134" s="33" customFormat="1" outlineLevel="1">
      <c r="A146" s="7">
        <f t="shared" ref="A146:A181" si="363">A145+1</f>
        <v>2025</v>
      </c>
      <c r="B146" s="151">
        <f>Assumptions!B9</f>
        <v>5.3800000000000001E-2</v>
      </c>
      <c r="C146" s="151">
        <f>Assumptions!C9</f>
        <v>5.3800000000000001E-2</v>
      </c>
      <c r="D146" s="151">
        <f>Assumptions!D9</f>
        <v>3.5000000000000003E-2</v>
      </c>
      <c r="E146" s="151">
        <f>Assumptions!E9</f>
        <v>5.2999999999999999E-2</v>
      </c>
      <c r="F146" s="8"/>
      <c r="G146" s="8"/>
      <c r="H146" s="8"/>
      <c r="I146" s="8"/>
      <c r="J146" s="8"/>
      <c r="K146" s="8"/>
      <c r="L146" s="8"/>
      <c r="M146" s="87">
        <f t="shared" si="320"/>
        <v>0</v>
      </c>
      <c r="N146" s="77">
        <f t="shared" si="321"/>
        <v>3.5000000000000003E-2</v>
      </c>
      <c r="O146" s="87">
        <f>IF($A146&gt;M$191, 0, IF($A146=M$191, N146*SUM(M146:M$181)*M$194/M$195, SUM(M146:M$181)*N146))</f>
        <v>238525.00000000003</v>
      </c>
      <c r="P146" s="35"/>
      <c r="Q146" s="87">
        <f t="shared" si="322"/>
        <v>0</v>
      </c>
      <c r="R146" s="77">
        <f t="shared" si="323"/>
        <v>3.5000000000000003E-2</v>
      </c>
      <c r="S146" s="87">
        <f>IF($A146&gt;Q$191, 0, IF($A146=Q$191, R146*SUM(Q146:Q$181)*Q$194/Q$195, SUM(Q146:Q$181)*R146))</f>
        <v>350000.00000000006</v>
      </c>
      <c r="T146" s="35"/>
      <c r="U146" s="35">
        <f t="shared" si="324"/>
        <v>0</v>
      </c>
      <c r="V146" s="35">
        <f t="shared" si="325"/>
        <v>588525.00000000012</v>
      </c>
      <c r="W146" s="35"/>
      <c r="X146" s="87">
        <f t="shared" si="326"/>
        <v>0</v>
      </c>
      <c r="Y146" s="77">
        <f t="shared" si="327"/>
        <v>3.0056000000000003E-2</v>
      </c>
      <c r="Z146" s="87">
        <f>IF($A146&gt;X$191, 0, IF($A146=X$191, Y146*SUM(X146:X$181)*X$194/X$195, SUM(X146:X$181)*Y146))</f>
        <v>6598343.9600000009</v>
      </c>
      <c r="AA146" s="87"/>
      <c r="AB146" s="87">
        <f t="shared" si="328"/>
        <v>0</v>
      </c>
      <c r="AC146" s="77">
        <f t="shared" si="329"/>
        <v>3.5000000000000003E-2</v>
      </c>
      <c r="AD146" s="87">
        <f>IF($A146&gt;AB$191, 0, IF($A146=AB$191, AC146*SUM(AB146:AB$181)*AB$194/AB$195, SUM(AB146:AB$181)*AC146))</f>
        <v>4375000</v>
      </c>
      <c r="AE146" s="35"/>
      <c r="AF146" s="87">
        <f t="shared" si="330"/>
        <v>0</v>
      </c>
      <c r="AG146" s="77">
        <f t="shared" si="331"/>
        <v>3.5000000000000003E-2</v>
      </c>
      <c r="AH146" s="87">
        <f>IF($A146&gt;AF$191, 0, IF($A146=AF$191, AG146*SUM(AF146:AF$181)*AF$194/AF$195, SUM(AF146:AF$181)*AG146))</f>
        <v>350000.00000000006</v>
      </c>
      <c r="AI146" s="35"/>
      <c r="AJ146" s="87"/>
      <c r="AK146" s="77"/>
      <c r="AL146" s="87"/>
      <c r="AM146" s="35"/>
      <c r="AN146" s="87">
        <f t="shared" si="332"/>
        <v>0</v>
      </c>
      <c r="AO146" s="77">
        <f t="shared" si="333"/>
        <v>3.8280000000000002E-2</v>
      </c>
      <c r="AP146" s="87">
        <f>IF($A146&gt;AN$191, 0, IF($A146=AN$191, AO146*SUM(AN146:AN$181)*AN$194/AN$195, SUM(AN146:AN$181)*AO146))</f>
        <v>1914000</v>
      </c>
      <c r="AQ146" s="35"/>
      <c r="AR146" s="87">
        <f t="shared" si="334"/>
        <v>0</v>
      </c>
      <c r="AS146" s="77">
        <f t="shared" si="335"/>
        <v>3.8460000000000001E-2</v>
      </c>
      <c r="AT146" s="87">
        <f>IF($A146&gt;AR$191, 0, IF($A146=AR$191, AS146*SUM(AR146:AR$181)*AR$194/AR$195, SUM(AR146:AR$181)*AS146))</f>
        <v>1923000</v>
      </c>
      <c r="AV146" s="35">
        <f t="shared" si="336"/>
        <v>0</v>
      </c>
      <c r="AW146" s="35">
        <f t="shared" si="337"/>
        <v>4187000</v>
      </c>
      <c r="AX146" s="35"/>
      <c r="AY146" s="87">
        <f t="shared" si="338"/>
        <v>0</v>
      </c>
      <c r="AZ146" s="77">
        <f t="shared" si="339"/>
        <v>3.5000000000000003E-2</v>
      </c>
      <c r="BA146" s="87">
        <f>IF($A146&gt;AY$191, 0, IF($A146=AY$191, AZ146*SUM(AY146:AY$181)*AY$194/AY$195, SUM(AY146:AY$181)*AZ146))</f>
        <v>350000.00000000006</v>
      </c>
      <c r="BB146" s="61"/>
      <c r="BC146" s="87">
        <f t="shared" si="340"/>
        <v>0</v>
      </c>
      <c r="BD146" s="77">
        <f t="shared" si="341"/>
        <v>3.5000000000000003E-2</v>
      </c>
      <c r="BE146" s="87">
        <f>IF($A146&gt;BC$191, 0, IF($A146=BC$191, BD146*SUM(BC146:BC$181)*BC$194/BC$195, SUM(BC146:BC$181)*BD146))</f>
        <v>1050000</v>
      </c>
      <c r="BF146" s="61"/>
      <c r="BG146" s="87">
        <f t="shared" si="342"/>
        <v>0</v>
      </c>
      <c r="BH146" s="77">
        <f t="shared" si="343"/>
        <v>3.5000000000000003E-2</v>
      </c>
      <c r="BI146" s="87">
        <f>IF($A146&gt;BG$191, 0, IF($A146=BG$191, BH146*SUM(BG146:BG$181)*BG$194/BG$195, SUM(BG146:BG$181)*BH146))</f>
        <v>2625000.0000000005</v>
      </c>
      <c r="BJ146" s="61"/>
      <c r="BK146" s="35">
        <f t="shared" ref="BK146:BK181" si="364">AY146+BC146+BG146</f>
        <v>0</v>
      </c>
      <c r="BL146" s="35">
        <f t="shared" ref="BL146:BL181" si="365">BA146+BE146+BI146</f>
        <v>4025000.0000000005</v>
      </c>
      <c r="BM146" s="8"/>
      <c r="BN146" s="87">
        <f t="shared" si="344"/>
        <v>0</v>
      </c>
      <c r="BO146" s="77" t="str">
        <f t="shared" si="345"/>
        <v xml:space="preserve">   </v>
      </c>
      <c r="BP146" s="87">
        <f>IF($A146&gt;BN$191, 0, IF($A146=BN$191, BO146*SUM(BN146:BN$181)*BN$194/BN$195, SUM(BN146:BN$181)*BO146))</f>
        <v>0</v>
      </c>
      <c r="BQ146" s="77"/>
      <c r="BR146" s="87"/>
      <c r="BS146" s="77"/>
      <c r="BT146" s="87"/>
      <c r="BU146" s="87"/>
      <c r="BV146" s="35">
        <f t="shared" ref="BV146:BV181" si="366">BN146+BR146</f>
        <v>0</v>
      </c>
      <c r="BW146" s="35">
        <f t="shared" ref="BW146:BW181" si="367">BP146+BT146</f>
        <v>0</v>
      </c>
      <c r="BX146" s="87"/>
      <c r="BY146" s="87">
        <f t="shared" si="346"/>
        <v>0</v>
      </c>
      <c r="BZ146" s="77">
        <f t="shared" si="347"/>
        <v>3.5000000000000003E-2</v>
      </c>
      <c r="CA146" s="87">
        <f>IF($A146&gt;BY$191, 0, IF($A146=BY$191, BZ146*SUM(BY146:BY$181)*BY$194/BY$195, SUM(BY146:BY$181)*BZ146))</f>
        <v>1575000.0000000002</v>
      </c>
      <c r="CB146" s="87"/>
      <c r="CC146" s="87">
        <f t="shared" si="348"/>
        <v>0</v>
      </c>
      <c r="CD146" s="77">
        <f t="shared" si="349"/>
        <v>3.5000000000000003E-2</v>
      </c>
      <c r="CE146" s="87">
        <f>IF($A146&gt;CC$191, 0, IF($A146=CC$191, CD146*SUM(CC146:CC$181)*CC$194/CC$195, SUM(CC146:CC$181)*CD146))</f>
        <v>175000.00000000003</v>
      </c>
      <c r="CF146" s="87"/>
      <c r="CG146" s="87"/>
      <c r="CH146" s="77"/>
      <c r="CI146" s="87"/>
      <c r="CJ146" s="87"/>
      <c r="CK146" s="87">
        <f t="shared" si="350"/>
        <v>0</v>
      </c>
      <c r="CL146" s="77">
        <f t="shared" si="351"/>
        <v>3.5000000000000003E-2</v>
      </c>
      <c r="CM146" s="87">
        <f>IF($A146&gt;CK$191, 0, IF($A146=CK$191, CL146*SUM(CK146:CK$181)*CK$194/CK$195, SUM(CK146:CK$181)*CL146))</f>
        <v>2625000.0000000005</v>
      </c>
      <c r="CN146" s="8"/>
      <c r="CO146" s="162">
        <f t="shared" si="352"/>
        <v>0</v>
      </c>
      <c r="CP146" s="87">
        <f t="shared" si="353"/>
        <v>2800000.0000000005</v>
      </c>
      <c r="CQ146" s="6"/>
      <c r="CR146" s="87">
        <f t="shared" si="354"/>
        <v>0</v>
      </c>
      <c r="CS146" s="77">
        <f t="shared" si="355"/>
        <v>3.5000000000000003E-2</v>
      </c>
      <c r="CT146" s="87">
        <f>IF($A146&gt;CR$191, 0, IF($A146=CR$191, CS146*SUM(CR146:CR$181)*CR$194/CR$195, SUM(CR146:CR$181)*CS146))</f>
        <v>770000.00000000012</v>
      </c>
      <c r="CZ146" s="165">
        <f t="shared" si="356"/>
        <v>0</v>
      </c>
      <c r="DA146" s="165">
        <f t="shared" si="357"/>
        <v>770000.00000000012</v>
      </c>
      <c r="DB146" s="87"/>
      <c r="DC146" s="87">
        <f t="shared" si="358"/>
        <v>0</v>
      </c>
      <c r="DD146" s="77">
        <f t="shared" si="359"/>
        <v>3.5000000000000003E-2</v>
      </c>
      <c r="DE146" s="87">
        <f>IF($A146&gt;DC$191, 0, IF($A146=DC$191, DD146*SUM(DC146:DC$181)*DC$194/DC$195, SUM(DC146:DC$181)*DD146))</f>
        <v>4936050.0000000009</v>
      </c>
      <c r="DF146" s="87"/>
      <c r="DG146" s="87"/>
      <c r="DH146" s="87"/>
      <c r="DI146" s="87"/>
      <c r="DJ146" s="87"/>
      <c r="DK146" s="87"/>
      <c r="DL146" s="87"/>
      <c r="DM146" s="87"/>
      <c r="DN146" s="87"/>
      <c r="DO146" s="87"/>
      <c r="DP146" s="87"/>
      <c r="DQ146" s="87"/>
      <c r="DR146" s="87"/>
      <c r="DS146" s="87"/>
      <c r="DT146" s="87"/>
      <c r="DU146" s="87"/>
      <c r="DW146" s="165">
        <f t="shared" ref="DW146:DW181" si="368">AV146+BK146+BV146+BY146+CO146+CZ146+DC146+DG146+DK146+DO146+DS146</f>
        <v>0</v>
      </c>
      <c r="DX146" s="165">
        <f t="shared" ref="DX146:DX181" si="369">AW146+BL146+BW146+CA146+CP146+DA146+DE146+DI146+DM146+DQ146+DU146</f>
        <v>18293050</v>
      </c>
      <c r="DY146" s="8"/>
      <c r="DZ146" s="53">
        <f t="shared" si="360"/>
        <v>2025</v>
      </c>
      <c r="EA146" s="35">
        <f t="shared" si="361"/>
        <v>0</v>
      </c>
      <c r="EB146" s="35">
        <f t="shared" si="362"/>
        <v>29854918.960000001</v>
      </c>
      <c r="ED146" s="181">
        <f t="shared" ref="ED146:ED181" si="370">ED145+1</f>
        <v>2</v>
      </c>
    </row>
    <row r="147" spans="1:134" s="33" customFormat="1" outlineLevel="1">
      <c r="A147" s="7">
        <f t="shared" si="363"/>
        <v>2026</v>
      </c>
      <c r="B147" s="151">
        <f>Assumptions!B10</f>
        <v>5.3800000000000001E-2</v>
      </c>
      <c r="C147" s="151">
        <f>Assumptions!C10</f>
        <v>5.3800000000000001E-2</v>
      </c>
      <c r="D147" s="151">
        <f>Assumptions!D10</f>
        <v>3.5000000000000003E-2</v>
      </c>
      <c r="E147" s="151">
        <f>Assumptions!E10</f>
        <v>5.2999999999999999E-2</v>
      </c>
      <c r="F147" s="8"/>
      <c r="G147" s="8"/>
      <c r="H147" s="8"/>
      <c r="I147" s="8"/>
      <c r="J147" s="8"/>
      <c r="K147" s="8"/>
      <c r="L147" s="8"/>
      <c r="M147" s="87">
        <f t="shared" si="320"/>
        <v>0</v>
      </c>
      <c r="N147" s="77">
        <f t="shared" si="321"/>
        <v>3.5000000000000003E-2</v>
      </c>
      <c r="O147" s="87">
        <f>IF($A147&gt;M$191, 0, IF($A147=M$191, N147*SUM(M147:M$181)*M$194/M$195, SUM(M147:M$181)*N147))</f>
        <v>238525.00000000003</v>
      </c>
      <c r="P147" s="35"/>
      <c r="Q147" s="87">
        <f t="shared" si="322"/>
        <v>0</v>
      </c>
      <c r="R147" s="77">
        <f t="shared" si="323"/>
        <v>3.5000000000000003E-2</v>
      </c>
      <c r="S147" s="87">
        <f>IF($A147&gt;Q$191, 0, IF($A147=Q$191, R147*SUM(Q147:Q$181)*Q$194/Q$195, SUM(Q147:Q$181)*R147))</f>
        <v>350000.00000000006</v>
      </c>
      <c r="T147" s="35"/>
      <c r="U147" s="35">
        <f t="shared" si="324"/>
        <v>0</v>
      </c>
      <c r="V147" s="35">
        <f t="shared" si="325"/>
        <v>588525.00000000012</v>
      </c>
      <c r="W147" s="35"/>
      <c r="X147" s="87">
        <f t="shared" si="326"/>
        <v>0</v>
      </c>
      <c r="Y147" s="77">
        <f t="shared" si="327"/>
        <v>3.0056000000000003E-2</v>
      </c>
      <c r="Z147" s="87">
        <f>IF($A147&gt;X$191, 0, IF($A147=X$191, Y147*SUM(X147:X$181)*X$194/X$195, SUM(X147:X$181)*Y147))</f>
        <v>6598343.9600000009</v>
      </c>
      <c r="AA147" s="87"/>
      <c r="AB147" s="87">
        <f t="shared" si="328"/>
        <v>0</v>
      </c>
      <c r="AC147" s="77">
        <f t="shared" si="329"/>
        <v>3.5000000000000003E-2</v>
      </c>
      <c r="AD147" s="87">
        <f>IF($A147&gt;AB$191, 0, IF($A147=AB$191, AC147*SUM(AB147:AB$181)*AB$194/AB$195, SUM(AB147:AB$181)*AC147))</f>
        <v>4375000</v>
      </c>
      <c r="AE147" s="35"/>
      <c r="AF147" s="87">
        <f t="shared" si="330"/>
        <v>0</v>
      </c>
      <c r="AG147" s="77">
        <f t="shared" si="331"/>
        <v>3.5000000000000003E-2</v>
      </c>
      <c r="AH147" s="87">
        <f>IF($A147&gt;AF$191, 0, IF($A147=AF$191, AG147*SUM(AF147:AF$181)*AF$194/AF$195, SUM(AF147:AF$181)*AG147))</f>
        <v>350000.00000000006</v>
      </c>
      <c r="AI147" s="35"/>
      <c r="AJ147" s="87"/>
      <c r="AK147" s="77"/>
      <c r="AL147" s="87"/>
      <c r="AM147" s="35"/>
      <c r="AN147" s="87">
        <f t="shared" si="332"/>
        <v>0</v>
      </c>
      <c r="AO147" s="77">
        <f t="shared" si="333"/>
        <v>3.8280000000000002E-2</v>
      </c>
      <c r="AP147" s="87">
        <f>IF($A147&gt;AN$191, 0, IF($A147=AN$191, AO147*SUM(AN147:AN$181)*AN$194/AN$195, SUM(AN147:AN$181)*AO147))</f>
        <v>1914000</v>
      </c>
      <c r="AQ147" s="35"/>
      <c r="AR147" s="87">
        <f t="shared" si="334"/>
        <v>0</v>
      </c>
      <c r="AS147" s="77">
        <f t="shared" si="335"/>
        <v>3.8460000000000001E-2</v>
      </c>
      <c r="AT147" s="87">
        <f>IF($A147&gt;AR$191, 0, IF($A147=AR$191, AS147*SUM(AR147:AR$181)*AR$194/AR$195, SUM(AR147:AR$181)*AS147))</f>
        <v>1923000</v>
      </c>
      <c r="AV147" s="35">
        <f t="shared" si="336"/>
        <v>0</v>
      </c>
      <c r="AW147" s="35">
        <f t="shared" si="337"/>
        <v>4187000</v>
      </c>
      <c r="AX147" s="35"/>
      <c r="AY147" s="87">
        <f t="shared" si="338"/>
        <v>0</v>
      </c>
      <c r="AZ147" s="77">
        <f t="shared" si="339"/>
        <v>3.5000000000000003E-2</v>
      </c>
      <c r="BA147" s="87">
        <f>IF($A147&gt;AY$191, 0, IF($A147=AY$191, AZ147*SUM(AY147:AY$181)*AY$194/AY$195, SUM(AY147:AY$181)*AZ147))</f>
        <v>350000.00000000006</v>
      </c>
      <c r="BB147" s="61"/>
      <c r="BC147" s="87">
        <f t="shared" si="340"/>
        <v>0</v>
      </c>
      <c r="BD147" s="77">
        <f t="shared" si="341"/>
        <v>3.5000000000000003E-2</v>
      </c>
      <c r="BE147" s="87">
        <f>IF($A147&gt;BC$191, 0, IF($A147=BC$191, BD147*SUM(BC147:BC$181)*BC$194/BC$195, SUM(BC147:BC$181)*BD147))</f>
        <v>1050000</v>
      </c>
      <c r="BF147" s="61"/>
      <c r="BG147" s="87">
        <f t="shared" si="342"/>
        <v>0</v>
      </c>
      <c r="BH147" s="77">
        <f t="shared" si="343"/>
        <v>3.5000000000000003E-2</v>
      </c>
      <c r="BI147" s="87">
        <f>IF($A147&gt;BG$191, 0, IF($A147=BG$191, BH147*SUM(BG147:BG$181)*BG$194/BG$195, SUM(BG147:BG$181)*BH147))</f>
        <v>2625000.0000000005</v>
      </c>
      <c r="BJ147" s="61"/>
      <c r="BK147" s="35">
        <f t="shared" si="364"/>
        <v>0</v>
      </c>
      <c r="BL147" s="35">
        <f t="shared" si="365"/>
        <v>4025000.0000000005</v>
      </c>
      <c r="BM147" s="8"/>
      <c r="BN147" s="87">
        <f t="shared" si="344"/>
        <v>0</v>
      </c>
      <c r="BO147" s="77" t="str">
        <f t="shared" si="345"/>
        <v xml:space="preserve">   </v>
      </c>
      <c r="BP147" s="87">
        <f>IF($A147&gt;BN$191, 0, IF($A147=BN$191, BO147*SUM(BN147:BN$181)*BN$194/BN$195, SUM(BN147:BN$181)*BO147))</f>
        <v>0</v>
      </c>
      <c r="BQ147" s="77"/>
      <c r="BR147" s="87"/>
      <c r="BS147" s="77"/>
      <c r="BT147" s="87"/>
      <c r="BU147" s="87"/>
      <c r="BV147" s="35">
        <f t="shared" si="366"/>
        <v>0</v>
      </c>
      <c r="BW147" s="35">
        <f t="shared" si="367"/>
        <v>0</v>
      </c>
      <c r="BX147" s="87"/>
      <c r="BY147" s="87">
        <f t="shared" si="346"/>
        <v>0</v>
      </c>
      <c r="BZ147" s="77">
        <f t="shared" si="347"/>
        <v>3.5000000000000003E-2</v>
      </c>
      <c r="CA147" s="87">
        <f>IF($A147&gt;BY$191, 0, IF($A147=BY$191, BZ147*SUM(BY147:BY$181)*BY$194/BY$195, SUM(BY147:BY$181)*BZ147))</f>
        <v>1575000.0000000002</v>
      </c>
      <c r="CB147" s="87"/>
      <c r="CC147" s="87">
        <f t="shared" si="348"/>
        <v>0</v>
      </c>
      <c r="CD147" s="77">
        <f t="shared" si="349"/>
        <v>3.5000000000000003E-2</v>
      </c>
      <c r="CE147" s="87">
        <f>IF($A147&gt;CC$191, 0, IF($A147=CC$191, CD147*SUM(CC147:CC$181)*CC$194/CC$195, SUM(CC147:CC$181)*CD147))</f>
        <v>175000.00000000003</v>
      </c>
      <c r="CF147" s="87"/>
      <c r="CG147" s="87"/>
      <c r="CH147" s="77"/>
      <c r="CI147" s="87"/>
      <c r="CJ147" s="87"/>
      <c r="CK147" s="87">
        <f t="shared" si="350"/>
        <v>0</v>
      </c>
      <c r="CL147" s="77">
        <f t="shared" si="351"/>
        <v>3.5000000000000003E-2</v>
      </c>
      <c r="CM147" s="87">
        <f>IF($A147&gt;CK$191, 0, IF($A147=CK$191, CL147*SUM(CK147:CK$181)*CK$194/CK$195, SUM(CK147:CK$181)*CL147))</f>
        <v>2625000.0000000005</v>
      </c>
      <c r="CN147" s="8"/>
      <c r="CO147" s="162">
        <f t="shared" si="352"/>
        <v>0</v>
      </c>
      <c r="CP147" s="87">
        <f t="shared" si="353"/>
        <v>2800000.0000000005</v>
      </c>
      <c r="CQ147" s="6"/>
      <c r="CR147" s="87">
        <f t="shared" si="354"/>
        <v>0</v>
      </c>
      <c r="CS147" s="77">
        <f t="shared" si="355"/>
        <v>3.5000000000000003E-2</v>
      </c>
      <c r="CT147" s="87">
        <f>IF($A147&gt;CR$191, 0, IF($A147=CR$191, CS147*SUM(CR147:CR$181)*CR$194/CR$195, SUM(CR147:CR$181)*CS147))</f>
        <v>770000.00000000012</v>
      </c>
      <c r="CZ147" s="165">
        <f t="shared" si="356"/>
        <v>0</v>
      </c>
      <c r="DA147" s="165">
        <f t="shared" si="357"/>
        <v>770000.00000000012</v>
      </c>
      <c r="DB147" s="87"/>
      <c r="DC147" s="87">
        <f t="shared" si="358"/>
        <v>0</v>
      </c>
      <c r="DD147" s="77">
        <f t="shared" si="359"/>
        <v>3.5000000000000003E-2</v>
      </c>
      <c r="DE147" s="87">
        <f>IF($A147&gt;DC$191, 0, IF($A147=DC$191, DD147*SUM(DC147:DC$181)*DC$194/DC$195, SUM(DC147:DC$181)*DD147))</f>
        <v>4936050.0000000009</v>
      </c>
      <c r="DF147" s="87"/>
      <c r="DG147" s="87"/>
      <c r="DH147" s="87"/>
      <c r="DI147" s="87"/>
      <c r="DJ147" s="87"/>
      <c r="DK147" s="87"/>
      <c r="DL147" s="87"/>
      <c r="DM147" s="87"/>
      <c r="DN147" s="87"/>
      <c r="DO147" s="87"/>
      <c r="DP147" s="87"/>
      <c r="DQ147" s="87"/>
      <c r="DR147" s="87"/>
      <c r="DS147" s="87"/>
      <c r="DT147" s="87"/>
      <c r="DU147" s="87"/>
      <c r="DW147" s="165">
        <f t="shared" si="368"/>
        <v>0</v>
      </c>
      <c r="DX147" s="165">
        <f t="shared" si="369"/>
        <v>18293050</v>
      </c>
      <c r="DY147" s="8"/>
      <c r="DZ147" s="53">
        <f t="shared" si="360"/>
        <v>2026</v>
      </c>
      <c r="EA147" s="35">
        <f t="shared" si="361"/>
        <v>0</v>
      </c>
      <c r="EB147" s="35">
        <f t="shared" si="362"/>
        <v>29854918.960000001</v>
      </c>
      <c r="ED147" s="181">
        <f t="shared" si="370"/>
        <v>3</v>
      </c>
    </row>
    <row r="148" spans="1:134" s="33" customFormat="1" outlineLevel="1">
      <c r="A148" s="7">
        <f t="shared" si="363"/>
        <v>2027</v>
      </c>
      <c r="B148" s="151">
        <f>Assumptions!B11</f>
        <v>5.3800000000000001E-2</v>
      </c>
      <c r="C148" s="151">
        <f>Assumptions!C11</f>
        <v>5.3800000000000001E-2</v>
      </c>
      <c r="D148" s="151">
        <f>Assumptions!D11</f>
        <v>3.5000000000000003E-2</v>
      </c>
      <c r="E148" s="151">
        <f>Assumptions!E11</f>
        <v>5.2999999999999999E-2</v>
      </c>
      <c r="F148" s="8"/>
      <c r="G148" s="8"/>
      <c r="H148" s="8"/>
      <c r="I148" s="8"/>
      <c r="J148" s="8"/>
      <c r="K148" s="8"/>
      <c r="L148" s="8"/>
      <c r="M148" s="87">
        <f t="shared" si="320"/>
        <v>6815000</v>
      </c>
      <c r="N148" s="77">
        <f t="shared" si="321"/>
        <v>3.5000000000000003E-2</v>
      </c>
      <c r="O148" s="87">
        <f>IF($A148&gt;M$191, 0, IF($A148=M$191, N148*SUM(M148:M$181)*M$194/M$195, SUM(M148:M$181)*N148))</f>
        <v>139139.58333333334</v>
      </c>
      <c r="P148" s="35"/>
      <c r="Q148" s="87">
        <f t="shared" si="322"/>
        <v>10000000</v>
      </c>
      <c r="R148" s="77">
        <f t="shared" si="323"/>
        <v>3.5000000000000003E-2</v>
      </c>
      <c r="S148" s="87">
        <f>IF($A148&gt;Q$191, 0, IF($A148=Q$191, R148*SUM(Q148:Q$181)*Q$194/Q$195, SUM(Q148:Q$181)*R148))</f>
        <v>204166.66666666672</v>
      </c>
      <c r="T148" s="35"/>
      <c r="U148" s="35">
        <f t="shared" si="324"/>
        <v>16815000</v>
      </c>
      <c r="V148" s="35">
        <f t="shared" si="325"/>
        <v>343306.25000000006</v>
      </c>
      <c r="W148" s="35"/>
      <c r="X148" s="87">
        <f t="shared" si="326"/>
        <v>0</v>
      </c>
      <c r="Y148" s="77">
        <f t="shared" si="327"/>
        <v>3.0056000000000003E-2</v>
      </c>
      <c r="Z148" s="87">
        <f>IF($A148&gt;X$191, 0, IF($A148=X$191, Y148*SUM(X148:X$181)*X$194/X$195, SUM(X148:X$181)*Y148))</f>
        <v>6598343.9600000009</v>
      </c>
      <c r="AA148" s="87"/>
      <c r="AB148" s="87">
        <f t="shared" si="328"/>
        <v>0</v>
      </c>
      <c r="AC148" s="77">
        <f t="shared" si="329"/>
        <v>3.5000000000000003E-2</v>
      </c>
      <c r="AD148" s="87">
        <f>IF($A148&gt;AB$191, 0, IF($A148=AB$191, AC148*SUM(AB148:AB$181)*AB$194/AB$195, SUM(AB148:AB$181)*AC148))</f>
        <v>4375000</v>
      </c>
      <c r="AE148" s="35"/>
      <c r="AF148" s="87">
        <f t="shared" si="330"/>
        <v>0</v>
      </c>
      <c r="AG148" s="77">
        <f t="shared" si="331"/>
        <v>3.5000000000000003E-2</v>
      </c>
      <c r="AH148" s="87">
        <f>IF($A148&gt;AF$191, 0, IF($A148=AF$191, AG148*SUM(AF148:AF$181)*AF$194/AF$195, SUM(AF148:AF$181)*AG148))</f>
        <v>350000.00000000006</v>
      </c>
      <c r="AI148" s="35"/>
      <c r="AJ148" s="87"/>
      <c r="AK148" s="77"/>
      <c r="AL148" s="87"/>
      <c r="AM148" s="35"/>
      <c r="AN148" s="87">
        <f t="shared" si="332"/>
        <v>50000000</v>
      </c>
      <c r="AO148" s="77">
        <f t="shared" si="333"/>
        <v>3.8280000000000002E-2</v>
      </c>
      <c r="AP148" s="87">
        <f>IF($A148&gt;AN$191, 0, IF($A148=AN$191, AO148*SUM(AN148:AN$181)*AN$194/AN$195, SUM(AN148:AN$181)*AO148))</f>
        <v>957000</v>
      </c>
      <c r="AQ148" s="35"/>
      <c r="AR148" s="87">
        <f t="shared" si="334"/>
        <v>0</v>
      </c>
      <c r="AS148" s="77">
        <f t="shared" si="335"/>
        <v>3.8460000000000001E-2</v>
      </c>
      <c r="AT148" s="87">
        <f>IF($A148&gt;AR$191, 0, IF($A148=AR$191, AS148*SUM(AR148:AR$181)*AR$194/AR$195, SUM(AR148:AR$181)*AS148))</f>
        <v>1923000</v>
      </c>
      <c r="AV148" s="35">
        <f t="shared" si="336"/>
        <v>50000000</v>
      </c>
      <c r="AW148" s="35">
        <f t="shared" si="337"/>
        <v>3230000</v>
      </c>
      <c r="AX148" s="35"/>
      <c r="AY148" s="87">
        <f t="shared" si="338"/>
        <v>0</v>
      </c>
      <c r="AZ148" s="77">
        <f t="shared" si="339"/>
        <v>3.5000000000000003E-2</v>
      </c>
      <c r="BA148" s="87">
        <f>IF($A148&gt;AY$191, 0, IF($A148=AY$191, AZ148*SUM(AY148:AY$181)*AY$194/AY$195, SUM(AY148:AY$181)*AZ148))</f>
        <v>350000.00000000006</v>
      </c>
      <c r="BB148" s="61"/>
      <c r="BC148" s="87">
        <f t="shared" si="340"/>
        <v>0</v>
      </c>
      <c r="BD148" s="77">
        <f t="shared" si="341"/>
        <v>3.5000000000000003E-2</v>
      </c>
      <c r="BE148" s="87">
        <f>IF($A148&gt;BC$191, 0, IF($A148=BC$191, BD148*SUM(BC148:BC$181)*BC$194/BC$195, SUM(BC148:BC$181)*BD148))</f>
        <v>1050000</v>
      </c>
      <c r="BF148" s="61"/>
      <c r="BG148" s="87">
        <f t="shared" si="342"/>
        <v>0</v>
      </c>
      <c r="BH148" s="77">
        <f t="shared" si="343"/>
        <v>3.5000000000000003E-2</v>
      </c>
      <c r="BI148" s="87">
        <f>IF($A148&gt;BG$191, 0, IF($A148=BG$191, BH148*SUM(BG148:BG$181)*BG$194/BG$195, SUM(BG148:BG$181)*BH148))</f>
        <v>2625000.0000000005</v>
      </c>
      <c r="BJ148" s="61"/>
      <c r="BK148" s="35">
        <f t="shared" si="364"/>
        <v>0</v>
      </c>
      <c r="BL148" s="35">
        <f t="shared" si="365"/>
        <v>4025000.0000000005</v>
      </c>
      <c r="BM148" s="8"/>
      <c r="BN148" s="87">
        <f t="shared" si="344"/>
        <v>0</v>
      </c>
      <c r="BO148" s="77" t="str">
        <f t="shared" si="345"/>
        <v xml:space="preserve">   </v>
      </c>
      <c r="BP148" s="87">
        <f>IF($A148&gt;BN$191, 0, IF($A148=BN$191, BO148*SUM(BN148:BN$181)*BN$194/BN$195, SUM(BN148:BN$181)*BO148))</f>
        <v>0</v>
      </c>
      <c r="BQ148" s="77"/>
      <c r="BR148" s="87"/>
      <c r="BS148" s="77"/>
      <c r="BT148" s="87"/>
      <c r="BU148" s="87"/>
      <c r="BV148" s="35">
        <f t="shared" si="366"/>
        <v>0</v>
      </c>
      <c r="BW148" s="35">
        <f t="shared" si="367"/>
        <v>0</v>
      </c>
      <c r="BX148" s="87"/>
      <c r="BY148" s="87">
        <f t="shared" si="346"/>
        <v>0</v>
      </c>
      <c r="BZ148" s="77">
        <f t="shared" si="347"/>
        <v>3.5000000000000003E-2</v>
      </c>
      <c r="CA148" s="87">
        <f>IF($A148&gt;BY$191, 0, IF($A148=BY$191, BZ148*SUM(BY148:BY$181)*BY$194/BY$195, SUM(BY148:BY$181)*BZ148))</f>
        <v>1575000.0000000002</v>
      </c>
      <c r="CB148" s="87"/>
      <c r="CC148" s="87">
        <f t="shared" si="348"/>
        <v>0</v>
      </c>
      <c r="CD148" s="77">
        <f t="shared" si="349"/>
        <v>3.5000000000000003E-2</v>
      </c>
      <c r="CE148" s="87">
        <f>IF($A148&gt;CC$191, 0, IF($A148=CC$191, CD148*SUM(CC148:CC$181)*CC$194/CC$195, SUM(CC148:CC$181)*CD148))</f>
        <v>175000.00000000003</v>
      </c>
      <c r="CF148" s="87"/>
      <c r="CG148" s="87"/>
      <c r="CH148" s="77"/>
      <c r="CI148" s="87"/>
      <c r="CJ148" s="87"/>
      <c r="CK148" s="87">
        <f t="shared" si="350"/>
        <v>0</v>
      </c>
      <c r="CL148" s="77">
        <f t="shared" si="351"/>
        <v>3.5000000000000003E-2</v>
      </c>
      <c r="CM148" s="87">
        <f>IF($A148&gt;CK$191, 0, IF($A148=CK$191, CL148*SUM(CK148:CK$181)*CK$194/CK$195, SUM(CK148:CK$181)*CL148))</f>
        <v>2625000.0000000005</v>
      </c>
      <c r="CN148" s="87"/>
      <c r="CO148" s="162">
        <f t="shared" si="352"/>
        <v>0</v>
      </c>
      <c r="CP148" s="87">
        <f t="shared" si="353"/>
        <v>2800000.0000000005</v>
      </c>
      <c r="CQ148" s="6"/>
      <c r="CR148" s="87">
        <f t="shared" si="354"/>
        <v>0</v>
      </c>
      <c r="CS148" s="77">
        <f t="shared" si="355"/>
        <v>3.5000000000000003E-2</v>
      </c>
      <c r="CT148" s="87">
        <f>IF($A148&gt;CR$191, 0, IF($A148=CR$191, CS148*SUM(CR148:CR$181)*CR$194/CR$195, SUM(CR148:CR$181)*CS148))</f>
        <v>770000.00000000012</v>
      </c>
      <c r="CZ148" s="165">
        <f t="shared" si="356"/>
        <v>0</v>
      </c>
      <c r="DA148" s="165">
        <f t="shared" si="357"/>
        <v>770000.00000000012</v>
      </c>
      <c r="DB148" s="87"/>
      <c r="DC148" s="87">
        <f t="shared" si="358"/>
        <v>0</v>
      </c>
      <c r="DD148" s="77">
        <f t="shared" si="359"/>
        <v>3.5000000000000003E-2</v>
      </c>
      <c r="DE148" s="87">
        <f>IF($A148&gt;DC$191, 0, IF($A148=DC$191, DD148*SUM(DC148:DC$181)*DC$194/DC$195, SUM(DC148:DC$181)*DD148))</f>
        <v>4936050.0000000009</v>
      </c>
      <c r="DF148" s="87"/>
      <c r="DG148" s="87"/>
      <c r="DH148" s="87"/>
      <c r="DI148" s="87"/>
      <c r="DJ148" s="87"/>
      <c r="DK148" s="87"/>
      <c r="DL148" s="87"/>
      <c r="DM148" s="87"/>
      <c r="DN148" s="87"/>
      <c r="DO148" s="87"/>
      <c r="DP148" s="87"/>
      <c r="DQ148" s="87"/>
      <c r="DR148" s="87"/>
      <c r="DS148" s="87"/>
      <c r="DT148" s="87"/>
      <c r="DU148" s="87"/>
      <c r="DW148" s="165">
        <f t="shared" si="368"/>
        <v>50000000</v>
      </c>
      <c r="DX148" s="165">
        <f t="shared" si="369"/>
        <v>17336050</v>
      </c>
      <c r="DY148" s="87"/>
      <c r="DZ148" s="53">
        <f t="shared" si="360"/>
        <v>2027</v>
      </c>
      <c r="EA148" s="35">
        <f t="shared" si="361"/>
        <v>66815000</v>
      </c>
      <c r="EB148" s="35">
        <f t="shared" si="362"/>
        <v>28652700.210000001</v>
      </c>
      <c r="ED148" s="181">
        <f t="shared" si="370"/>
        <v>4</v>
      </c>
    </row>
    <row r="149" spans="1:134" s="33" customFormat="1" outlineLevel="1">
      <c r="A149" s="7">
        <f t="shared" si="363"/>
        <v>2028</v>
      </c>
      <c r="B149" s="151">
        <f>Assumptions!B12</f>
        <v>5.3800000000000001E-2</v>
      </c>
      <c r="C149" s="151">
        <f>Assumptions!C12</f>
        <v>5.3800000000000001E-2</v>
      </c>
      <c r="D149" s="151">
        <f>Assumptions!D12</f>
        <v>3.5000000000000003E-2</v>
      </c>
      <c r="E149" s="151">
        <f>Assumptions!E12</f>
        <v>5.2999999999999999E-2</v>
      </c>
      <c r="F149" s="8"/>
      <c r="G149" s="8"/>
      <c r="H149" s="8"/>
      <c r="I149" s="8"/>
      <c r="J149" s="8"/>
      <c r="K149" s="8"/>
      <c r="L149" s="8"/>
      <c r="M149" s="87">
        <f t="shared" si="320"/>
        <v>0</v>
      </c>
      <c r="N149" s="77" t="str">
        <f t="shared" si="321"/>
        <v xml:space="preserve">   </v>
      </c>
      <c r="O149" s="87">
        <f>IF($A149&gt;M$191, 0, IF($A149=M$191, N149*SUM(M149:M$181)*M$194/M$195, SUM(M149:M$181)*N149))</f>
        <v>0</v>
      </c>
      <c r="P149" s="35"/>
      <c r="Q149" s="87">
        <f t="shared" si="322"/>
        <v>0</v>
      </c>
      <c r="R149" s="77" t="str">
        <f t="shared" si="323"/>
        <v xml:space="preserve">   </v>
      </c>
      <c r="S149" s="87">
        <f>IF($A149&gt;Q$191, 0, IF($A149=Q$191, R149*SUM(Q149:Q$181)*Q$194/Q$195, SUM(Q149:Q$181)*R149))</f>
        <v>0</v>
      </c>
      <c r="T149" s="35"/>
      <c r="U149" s="35">
        <f t="shared" si="324"/>
        <v>0</v>
      </c>
      <c r="V149" s="35">
        <f t="shared" si="325"/>
        <v>0</v>
      </c>
      <c r="W149" s="35"/>
      <c r="X149" s="87">
        <f t="shared" si="326"/>
        <v>219535000</v>
      </c>
      <c r="Y149" s="77">
        <f t="shared" si="327"/>
        <v>3.0056000000000003E-2</v>
      </c>
      <c r="Z149" s="87">
        <f>IF($A149&gt;X$191, 0, IF($A149=X$191, Y149*SUM(X149:X$181)*X$194/X$195, SUM(X149:X$181)*Y149))</f>
        <v>4398895.9733333336</v>
      </c>
      <c r="AA149" s="87"/>
      <c r="AB149" s="87">
        <f t="shared" si="328"/>
        <v>0</v>
      </c>
      <c r="AC149" s="77">
        <f t="shared" si="329"/>
        <v>3.5000000000000003E-2</v>
      </c>
      <c r="AD149" s="87">
        <f>IF($A149&gt;AB$191, 0, IF($A149=AB$191, AC149*SUM(AB149:AB$181)*AB$194/AB$195, SUM(AB149:AB$181)*AC149))</f>
        <v>4375000</v>
      </c>
      <c r="AE149" s="35"/>
      <c r="AF149" s="87">
        <f t="shared" si="330"/>
        <v>0</v>
      </c>
      <c r="AG149" s="77">
        <f t="shared" si="331"/>
        <v>3.5000000000000003E-2</v>
      </c>
      <c r="AH149" s="87">
        <f>IF($A149&gt;AF$191, 0, IF($A149=AF$191, AG149*SUM(AF149:AF$181)*AF$194/AF$195, SUM(AF149:AF$181)*AG149))</f>
        <v>350000.00000000006</v>
      </c>
      <c r="AI149" s="35"/>
      <c r="AJ149" s="87"/>
      <c r="AK149" s="77"/>
      <c r="AL149" s="87"/>
      <c r="AM149" s="35"/>
      <c r="AN149" s="87">
        <f t="shared" si="332"/>
        <v>0</v>
      </c>
      <c r="AO149" s="77" t="str">
        <f t="shared" si="333"/>
        <v xml:space="preserve">   </v>
      </c>
      <c r="AP149" s="87">
        <f>IF($A149&gt;AN$191, 0, IF($A149=AN$191, AO149*SUM(AN149:AN$181)*AN$194/AN$195, SUM(AN149:AN$181)*AO149))</f>
        <v>0</v>
      </c>
      <c r="AQ149" s="35"/>
      <c r="AR149" s="87">
        <f t="shared" si="334"/>
        <v>0</v>
      </c>
      <c r="AS149" s="77">
        <f t="shared" si="335"/>
        <v>3.8460000000000001E-2</v>
      </c>
      <c r="AT149" s="87">
        <f>IF($A149&gt;AR$191, 0, IF($A149=AR$191, AS149*SUM(AR149:AR$181)*AR$194/AR$195, SUM(AR149:AR$181)*AS149))</f>
        <v>1923000</v>
      </c>
      <c r="AV149" s="35">
        <f t="shared" si="336"/>
        <v>0</v>
      </c>
      <c r="AW149" s="35">
        <f t="shared" si="337"/>
        <v>2273000</v>
      </c>
      <c r="AX149" s="35"/>
      <c r="AY149" s="87">
        <f t="shared" si="338"/>
        <v>0</v>
      </c>
      <c r="AZ149" s="77">
        <f t="shared" si="339"/>
        <v>3.5000000000000003E-2</v>
      </c>
      <c r="BA149" s="87">
        <f>IF($A149&gt;AY$191, 0, IF($A149=AY$191, AZ149*SUM(AY149:AY$181)*AY$194/AY$195, SUM(AY149:AY$181)*AZ149))</f>
        <v>350000.00000000006</v>
      </c>
      <c r="BB149" s="61"/>
      <c r="BC149" s="87">
        <f t="shared" si="340"/>
        <v>0</v>
      </c>
      <c r="BD149" s="77">
        <f t="shared" si="341"/>
        <v>3.5000000000000003E-2</v>
      </c>
      <c r="BE149" s="87">
        <f>IF($A149&gt;BC$191, 0, IF($A149=BC$191, BD149*SUM(BC149:BC$181)*BC$194/BC$195, SUM(BC149:BC$181)*BD149))</f>
        <v>1050000</v>
      </c>
      <c r="BF149" s="61"/>
      <c r="BG149" s="87">
        <f t="shared" si="342"/>
        <v>0</v>
      </c>
      <c r="BH149" s="77">
        <f t="shared" si="343"/>
        <v>3.5000000000000003E-2</v>
      </c>
      <c r="BI149" s="87">
        <f>IF($A149&gt;BG$191, 0, IF($A149=BG$191, BH149*SUM(BG149:BG$181)*BG$194/BG$195, SUM(BG149:BG$181)*BH149))</f>
        <v>2625000.0000000005</v>
      </c>
      <c r="BJ149" s="61"/>
      <c r="BK149" s="35">
        <f t="shared" si="364"/>
        <v>0</v>
      </c>
      <c r="BL149" s="35">
        <f t="shared" si="365"/>
        <v>4025000.0000000005</v>
      </c>
      <c r="BM149" s="8"/>
      <c r="BN149" s="87">
        <f t="shared" si="344"/>
        <v>0</v>
      </c>
      <c r="BO149" s="77" t="str">
        <f t="shared" si="345"/>
        <v xml:space="preserve">   </v>
      </c>
      <c r="BP149" s="87">
        <f>IF($A149&gt;BN$191, 0, IF($A149=BN$191, BO149*SUM(BN149:BN$181)*BN$194/BN$195, SUM(BN149:BN$181)*BO149))</f>
        <v>0</v>
      </c>
      <c r="BQ149" s="77"/>
      <c r="BR149" s="87"/>
      <c r="BS149" s="77"/>
      <c r="BT149" s="87"/>
      <c r="BU149" s="87"/>
      <c r="BV149" s="35">
        <f t="shared" si="366"/>
        <v>0</v>
      </c>
      <c r="BW149" s="35">
        <f t="shared" si="367"/>
        <v>0</v>
      </c>
      <c r="BX149" s="87"/>
      <c r="BY149" s="87">
        <f t="shared" si="346"/>
        <v>0</v>
      </c>
      <c r="BZ149" s="77">
        <f t="shared" si="347"/>
        <v>3.5000000000000003E-2</v>
      </c>
      <c r="CA149" s="87">
        <f>IF($A149&gt;BY$191, 0, IF($A149=BY$191, BZ149*SUM(BY149:BY$181)*BY$194/BY$195, SUM(BY149:BY$181)*BZ149))</f>
        <v>1575000.0000000002</v>
      </c>
      <c r="CB149" s="87"/>
      <c r="CC149" s="87">
        <f t="shared" si="348"/>
        <v>0</v>
      </c>
      <c r="CD149" s="77">
        <f t="shared" si="349"/>
        <v>3.5000000000000003E-2</v>
      </c>
      <c r="CE149" s="87">
        <f>IF($A149&gt;CC$191, 0, IF($A149=CC$191, CD149*SUM(CC149:CC$181)*CC$194/CC$195, SUM(CC149:CC$181)*CD149))</f>
        <v>175000.00000000003</v>
      </c>
      <c r="CF149" s="87"/>
      <c r="CG149" s="87"/>
      <c r="CH149" s="77"/>
      <c r="CI149" s="87"/>
      <c r="CJ149" s="87"/>
      <c r="CK149" s="87">
        <f t="shared" si="350"/>
        <v>0</v>
      </c>
      <c r="CL149" s="77">
        <f t="shared" si="351"/>
        <v>3.5000000000000003E-2</v>
      </c>
      <c r="CM149" s="87">
        <f>IF($A149&gt;CK$191, 0, IF($A149=CK$191, CL149*SUM(CK149:CK$181)*CK$194/CK$195, SUM(CK149:CK$181)*CL149))</f>
        <v>2625000.0000000005</v>
      </c>
      <c r="CN149" s="87"/>
      <c r="CO149" s="162">
        <f t="shared" si="352"/>
        <v>0</v>
      </c>
      <c r="CP149" s="87">
        <f t="shared" si="353"/>
        <v>2800000.0000000005</v>
      </c>
      <c r="CQ149" s="6"/>
      <c r="CR149" s="87">
        <f t="shared" si="354"/>
        <v>0</v>
      </c>
      <c r="CS149" s="77">
        <f t="shared" si="355"/>
        <v>3.5000000000000003E-2</v>
      </c>
      <c r="CT149" s="87">
        <f>IF($A149&gt;CR$191, 0, IF($A149=CR$191, CS149*SUM(CR149:CR$181)*CR$194/CR$195, SUM(CR149:CR$181)*CS149))</f>
        <v>770000.00000000012</v>
      </c>
      <c r="CZ149" s="165">
        <f t="shared" si="356"/>
        <v>0</v>
      </c>
      <c r="DA149" s="165">
        <f t="shared" si="357"/>
        <v>770000.00000000012</v>
      </c>
      <c r="DB149" s="87"/>
      <c r="DC149" s="87">
        <f t="shared" si="358"/>
        <v>0</v>
      </c>
      <c r="DD149" s="77">
        <f t="shared" si="359"/>
        <v>3.5000000000000003E-2</v>
      </c>
      <c r="DE149" s="87">
        <f>IF($A149&gt;DC$191, 0, IF($A149=DC$191, DD149*SUM(DC149:DC$181)*DC$194/DC$195, SUM(DC149:DC$181)*DD149))</f>
        <v>4936050.0000000009</v>
      </c>
      <c r="DF149" s="87"/>
      <c r="DG149" s="87"/>
      <c r="DH149" s="87"/>
      <c r="DI149" s="87"/>
      <c r="DJ149" s="87"/>
      <c r="DK149" s="87"/>
      <c r="DL149" s="87"/>
      <c r="DM149" s="87"/>
      <c r="DN149" s="87"/>
      <c r="DO149" s="87"/>
      <c r="DP149" s="87"/>
      <c r="DQ149" s="87"/>
      <c r="DR149" s="87"/>
      <c r="DS149" s="87"/>
      <c r="DT149" s="87"/>
      <c r="DU149" s="87"/>
      <c r="DW149" s="165">
        <f t="shared" si="368"/>
        <v>0</v>
      </c>
      <c r="DX149" s="165">
        <f t="shared" si="369"/>
        <v>16379050</v>
      </c>
      <c r="DY149" s="87"/>
      <c r="DZ149" s="53">
        <f t="shared" si="360"/>
        <v>2028</v>
      </c>
      <c r="EA149" s="35">
        <f t="shared" si="361"/>
        <v>219535000</v>
      </c>
      <c r="EB149" s="35">
        <f t="shared" si="362"/>
        <v>25152945.973333333</v>
      </c>
      <c r="ED149" s="181">
        <f t="shared" si="370"/>
        <v>5</v>
      </c>
    </row>
    <row r="150" spans="1:134" s="33" customFormat="1" outlineLevel="1">
      <c r="A150" s="7">
        <f t="shared" si="363"/>
        <v>2029</v>
      </c>
      <c r="B150" s="151">
        <f>Assumptions!B13</f>
        <v>5.3800000000000001E-2</v>
      </c>
      <c r="C150" s="151">
        <f>Assumptions!C13</f>
        <v>5.3800000000000001E-2</v>
      </c>
      <c r="D150" s="151">
        <f>Assumptions!D13</f>
        <v>3.5000000000000003E-2</v>
      </c>
      <c r="E150" s="151">
        <f>Assumptions!E13</f>
        <v>5.2999999999999999E-2</v>
      </c>
      <c r="F150" s="8"/>
      <c r="G150" s="8"/>
      <c r="H150" s="8"/>
      <c r="I150" s="8"/>
      <c r="J150" s="8"/>
      <c r="K150" s="8"/>
      <c r="L150" s="8"/>
      <c r="M150" s="87">
        <f t="shared" si="320"/>
        <v>0</v>
      </c>
      <c r="N150" s="77" t="str">
        <f t="shared" si="321"/>
        <v xml:space="preserve">   </v>
      </c>
      <c r="O150" s="87">
        <f>IF($A150&gt;M$191, 0, IF($A150=M$191, N150*SUM(M150:M$181)*M$194/M$195, SUM(M150:M$181)*N150))</f>
        <v>0</v>
      </c>
      <c r="P150" s="35"/>
      <c r="Q150" s="87">
        <f t="shared" si="322"/>
        <v>0</v>
      </c>
      <c r="R150" s="77" t="str">
        <f t="shared" si="323"/>
        <v xml:space="preserve">   </v>
      </c>
      <c r="S150" s="87">
        <f>IF($A150&gt;Q$191, 0, IF($A150=Q$191, R150*SUM(Q150:Q$181)*Q$194/Q$195, SUM(Q150:Q$181)*R150))</f>
        <v>0</v>
      </c>
      <c r="T150" s="35"/>
      <c r="U150" s="35">
        <f t="shared" si="324"/>
        <v>0</v>
      </c>
      <c r="V150" s="35">
        <f t="shared" si="325"/>
        <v>0</v>
      </c>
      <c r="W150" s="35"/>
      <c r="X150" s="87">
        <f t="shared" si="326"/>
        <v>0</v>
      </c>
      <c r="Y150" s="77" t="str">
        <f t="shared" si="327"/>
        <v xml:space="preserve">   </v>
      </c>
      <c r="Z150" s="87">
        <f>IF($A150&gt;X$191, 0, IF($A150=X$191, Y150*SUM(X150:X$181)*X$194/X$195, SUM(X150:X$181)*Y150))</f>
        <v>0</v>
      </c>
      <c r="AA150" s="87"/>
      <c r="AB150" s="87">
        <f t="shared" si="328"/>
        <v>0</v>
      </c>
      <c r="AC150" s="77">
        <f t="shared" si="329"/>
        <v>3.5000000000000003E-2</v>
      </c>
      <c r="AD150" s="87">
        <f>IF($A150&gt;AB$191, 0, IF($A150=AB$191, AC150*SUM(AB150:AB$181)*AB$194/AB$195, SUM(AB150:AB$181)*AC150))</f>
        <v>4375000</v>
      </c>
      <c r="AE150" s="35"/>
      <c r="AF150" s="87">
        <f t="shared" si="330"/>
        <v>0</v>
      </c>
      <c r="AG150" s="77">
        <f t="shared" si="331"/>
        <v>3.5000000000000003E-2</v>
      </c>
      <c r="AH150" s="87">
        <f>IF($A150&gt;AF$191, 0, IF($A150=AF$191, AG150*SUM(AF150:AF$181)*AF$194/AF$195, SUM(AF150:AF$181)*AG150))</f>
        <v>350000.00000000006</v>
      </c>
      <c r="AI150" s="35"/>
      <c r="AJ150" s="87"/>
      <c r="AK150" s="77"/>
      <c r="AL150" s="87"/>
      <c r="AM150" s="35"/>
      <c r="AN150" s="87">
        <f t="shared" si="332"/>
        <v>0</v>
      </c>
      <c r="AO150" s="77" t="str">
        <f t="shared" si="333"/>
        <v xml:space="preserve">   </v>
      </c>
      <c r="AP150" s="87">
        <f>IF($A150&gt;AN$191, 0, IF($A150=AN$191, AO150*SUM(AN150:AN$181)*AN$194/AN$195, SUM(AN150:AN$181)*AO150))</f>
        <v>0</v>
      </c>
      <c r="AQ150" s="35"/>
      <c r="AR150" s="87">
        <f t="shared" si="334"/>
        <v>0</v>
      </c>
      <c r="AS150" s="77">
        <f t="shared" si="335"/>
        <v>3.8460000000000001E-2</v>
      </c>
      <c r="AT150" s="87">
        <f>IF($A150&gt;AR$191, 0, IF($A150=AR$191, AS150*SUM(AR150:AR$181)*AR$194/AR$195, SUM(AR150:AR$181)*AS150))</f>
        <v>1923000</v>
      </c>
      <c r="AV150" s="35">
        <f t="shared" si="336"/>
        <v>0</v>
      </c>
      <c r="AW150" s="35">
        <f t="shared" si="337"/>
        <v>2273000</v>
      </c>
      <c r="AX150" s="35"/>
      <c r="AY150" s="87">
        <f t="shared" si="338"/>
        <v>0</v>
      </c>
      <c r="AZ150" s="77">
        <f t="shared" si="339"/>
        <v>3.5000000000000003E-2</v>
      </c>
      <c r="BA150" s="87">
        <f>IF($A150&gt;AY$191, 0, IF($A150=AY$191, AZ150*SUM(AY150:AY$181)*AY$194/AY$195, SUM(AY150:AY$181)*AZ150))</f>
        <v>350000.00000000006</v>
      </c>
      <c r="BB150" s="61"/>
      <c r="BC150" s="87">
        <f t="shared" si="340"/>
        <v>0</v>
      </c>
      <c r="BD150" s="77">
        <f t="shared" si="341"/>
        <v>3.5000000000000003E-2</v>
      </c>
      <c r="BE150" s="87">
        <f>IF($A150&gt;BC$191, 0, IF($A150=BC$191, BD150*SUM(BC150:BC$181)*BC$194/BC$195, SUM(BC150:BC$181)*BD150))</f>
        <v>1050000</v>
      </c>
      <c r="BF150" s="61"/>
      <c r="BG150" s="87">
        <f t="shared" si="342"/>
        <v>0</v>
      </c>
      <c r="BH150" s="77">
        <f t="shared" si="343"/>
        <v>3.5000000000000003E-2</v>
      </c>
      <c r="BI150" s="87">
        <f>IF($A150&gt;BG$191, 0, IF($A150=BG$191, BH150*SUM(BG150:BG$181)*BG$194/BG$195, SUM(BG150:BG$181)*BH150))</f>
        <v>2625000.0000000005</v>
      </c>
      <c r="BJ150" s="61"/>
      <c r="BK150" s="35">
        <f t="shared" si="364"/>
        <v>0</v>
      </c>
      <c r="BL150" s="35">
        <f t="shared" si="365"/>
        <v>4025000.0000000005</v>
      </c>
      <c r="BM150" s="8"/>
      <c r="BN150" s="87">
        <f t="shared" si="344"/>
        <v>0</v>
      </c>
      <c r="BO150" s="77" t="str">
        <f t="shared" si="345"/>
        <v xml:space="preserve">   </v>
      </c>
      <c r="BP150" s="87">
        <f>IF($A150&gt;BN$191, 0, IF($A150=BN$191, BO150*SUM(BN150:BN$181)*BN$194/BN$195, SUM(BN150:BN$181)*BO150))</f>
        <v>0</v>
      </c>
      <c r="BQ150" s="77"/>
      <c r="BR150" s="87"/>
      <c r="BS150" s="77"/>
      <c r="BT150" s="87"/>
      <c r="BU150" s="87"/>
      <c r="BV150" s="35">
        <f t="shared" si="366"/>
        <v>0</v>
      </c>
      <c r="BW150" s="35">
        <f t="shared" si="367"/>
        <v>0</v>
      </c>
      <c r="BX150" s="87"/>
      <c r="BY150" s="87">
        <f t="shared" si="346"/>
        <v>45000000</v>
      </c>
      <c r="BZ150" s="77">
        <f t="shared" si="347"/>
        <v>3.5000000000000003E-2</v>
      </c>
      <c r="CA150" s="87">
        <f>IF($A150&gt;BY$191, 0, IF($A150=BY$191, BZ150*SUM(BY150:BY$181)*BY$194/BY$195, SUM(BY150:BY$181)*BZ150))</f>
        <v>1312500.0000000002</v>
      </c>
      <c r="CB150" s="87"/>
      <c r="CC150" s="87">
        <f t="shared" si="348"/>
        <v>0</v>
      </c>
      <c r="CD150" s="77">
        <f t="shared" si="349"/>
        <v>3.5000000000000003E-2</v>
      </c>
      <c r="CE150" s="87">
        <f>IF($A150&gt;CC$191, 0, IF($A150=CC$191, CD150*SUM(CC150:CC$181)*CC$194/CC$195, SUM(CC150:CC$181)*CD150))</f>
        <v>175000.00000000003</v>
      </c>
      <c r="CF150" s="87"/>
      <c r="CG150" s="87"/>
      <c r="CH150" s="77"/>
      <c r="CI150" s="87"/>
      <c r="CJ150" s="87"/>
      <c r="CK150" s="87">
        <f t="shared" si="350"/>
        <v>0</v>
      </c>
      <c r="CL150" s="77">
        <f t="shared" si="351"/>
        <v>3.5000000000000003E-2</v>
      </c>
      <c r="CM150" s="87">
        <f>IF($A150&gt;CK$191, 0, IF($A150=CK$191, CL150*SUM(CK150:CK$181)*CK$194/CK$195, SUM(CK150:CK$181)*CL150))</f>
        <v>2625000.0000000005</v>
      </c>
      <c r="CN150" s="87"/>
      <c r="CO150" s="162">
        <f t="shared" si="352"/>
        <v>0</v>
      </c>
      <c r="CP150" s="87">
        <f t="shared" si="353"/>
        <v>2800000.0000000005</v>
      </c>
      <c r="CQ150" s="6"/>
      <c r="CR150" s="87">
        <f t="shared" si="354"/>
        <v>22000000</v>
      </c>
      <c r="CS150" s="77">
        <f t="shared" si="355"/>
        <v>3.5000000000000003E-2</v>
      </c>
      <c r="CT150" s="87">
        <f>IF($A150&gt;CR$191, 0, IF($A150=CR$191, CS150*SUM(CR150:CR$181)*CR$194/CR$195, SUM(CR150:CR$181)*CS150))</f>
        <v>192500.00000000003</v>
      </c>
      <c r="CZ150" s="165">
        <f t="shared" si="356"/>
        <v>22000000</v>
      </c>
      <c r="DA150" s="165">
        <f t="shared" si="357"/>
        <v>192500.00000000003</v>
      </c>
      <c r="DB150" s="87"/>
      <c r="DC150" s="87">
        <f t="shared" si="358"/>
        <v>0</v>
      </c>
      <c r="DD150" s="77">
        <f t="shared" si="359"/>
        <v>3.5000000000000003E-2</v>
      </c>
      <c r="DE150" s="87">
        <f>IF($A150&gt;DC$191, 0, IF($A150=DC$191, DD150*SUM(DC150:DC$181)*DC$194/DC$195, SUM(DC150:DC$181)*DD150))</f>
        <v>4936050.0000000009</v>
      </c>
      <c r="DF150" s="87"/>
      <c r="DG150" s="87"/>
      <c r="DH150" s="87"/>
      <c r="DI150" s="87"/>
      <c r="DJ150" s="87"/>
      <c r="DK150" s="87"/>
      <c r="DL150" s="87"/>
      <c r="DM150" s="87"/>
      <c r="DN150" s="87"/>
      <c r="DO150" s="87"/>
      <c r="DP150" s="87"/>
      <c r="DQ150" s="87"/>
      <c r="DR150" s="87"/>
      <c r="DS150" s="87"/>
      <c r="DT150" s="87"/>
      <c r="DU150" s="87"/>
      <c r="DW150" s="165">
        <f t="shared" si="368"/>
        <v>67000000</v>
      </c>
      <c r="DX150" s="165">
        <f t="shared" si="369"/>
        <v>15539050</v>
      </c>
      <c r="DY150" s="87"/>
      <c r="DZ150" s="53">
        <f t="shared" si="360"/>
        <v>2029</v>
      </c>
      <c r="EA150" s="35">
        <f t="shared" si="361"/>
        <v>67000000</v>
      </c>
      <c r="EB150" s="35">
        <f t="shared" si="362"/>
        <v>19914050</v>
      </c>
      <c r="ED150" s="181">
        <f t="shared" si="370"/>
        <v>6</v>
      </c>
    </row>
    <row r="151" spans="1:134" s="33" customFormat="1" outlineLevel="1">
      <c r="A151" s="7">
        <f t="shared" si="363"/>
        <v>2030</v>
      </c>
      <c r="B151" s="151">
        <f>Assumptions!B14</f>
        <v>5.3800000000000001E-2</v>
      </c>
      <c r="C151" s="151">
        <f>Assumptions!C14</f>
        <v>5.3800000000000001E-2</v>
      </c>
      <c r="D151" s="151">
        <f>Assumptions!D14</f>
        <v>3.5000000000000003E-2</v>
      </c>
      <c r="E151" s="151">
        <f>Assumptions!E14</f>
        <v>5.2999999999999999E-2</v>
      </c>
      <c r="F151" s="8"/>
      <c r="G151" s="8"/>
      <c r="H151" s="8"/>
      <c r="I151" s="8"/>
      <c r="J151" s="8"/>
      <c r="K151" s="8"/>
      <c r="L151" s="8"/>
      <c r="M151" s="87">
        <f t="shared" si="320"/>
        <v>0</v>
      </c>
      <c r="N151" s="77" t="str">
        <f t="shared" si="321"/>
        <v xml:space="preserve">   </v>
      </c>
      <c r="O151" s="87">
        <f>IF($A151&gt;M$191, 0, IF($A151=M$191, N151*SUM(M151:M$181)*M$194/M$195, SUM(M151:M$181)*N151))</f>
        <v>0</v>
      </c>
      <c r="P151" s="35"/>
      <c r="Q151" s="87">
        <f t="shared" si="322"/>
        <v>0</v>
      </c>
      <c r="R151" s="77" t="str">
        <f t="shared" si="323"/>
        <v xml:space="preserve">   </v>
      </c>
      <c r="S151" s="87">
        <f>IF($A151&gt;Q$191, 0, IF($A151=Q$191, R151*SUM(Q151:Q$181)*Q$194/Q$195, SUM(Q151:Q$181)*R151))</f>
        <v>0</v>
      </c>
      <c r="T151" s="35"/>
      <c r="U151" s="35">
        <f t="shared" si="324"/>
        <v>0</v>
      </c>
      <c r="V151" s="35">
        <f t="shared" si="325"/>
        <v>0</v>
      </c>
      <c r="W151" s="35"/>
      <c r="X151" s="87">
        <f t="shared" si="326"/>
        <v>0</v>
      </c>
      <c r="Y151" s="77" t="str">
        <f t="shared" si="327"/>
        <v xml:space="preserve">   </v>
      </c>
      <c r="Z151" s="87">
        <f>IF($A151&gt;X$191, 0, IF($A151=X$191, Y151*SUM(X151:X$181)*X$194/X$195, SUM(X151:X$181)*Y151))</f>
        <v>0</v>
      </c>
      <c r="AA151" s="87"/>
      <c r="AB151" s="87">
        <f t="shared" si="328"/>
        <v>0</v>
      </c>
      <c r="AC151" s="77">
        <f t="shared" si="329"/>
        <v>3.5000000000000003E-2</v>
      </c>
      <c r="AD151" s="87">
        <f>IF($A151&gt;AB$191, 0, IF($A151=AB$191, AC151*SUM(AB151:AB$181)*AB$194/AB$195, SUM(AB151:AB$181)*AC151))</f>
        <v>4375000</v>
      </c>
      <c r="AE151" s="35"/>
      <c r="AF151" s="87">
        <f t="shared" si="330"/>
        <v>0</v>
      </c>
      <c r="AG151" s="77">
        <f t="shared" si="331"/>
        <v>3.5000000000000003E-2</v>
      </c>
      <c r="AH151" s="87">
        <f>IF($A151&gt;AF$191, 0, IF($A151=AF$191, AG151*SUM(AF151:AF$181)*AF$194/AF$195, SUM(AF151:AF$181)*AG151))</f>
        <v>350000.00000000006</v>
      </c>
      <c r="AI151" s="35"/>
      <c r="AJ151" s="87"/>
      <c r="AK151" s="77"/>
      <c r="AL151" s="87"/>
      <c r="AM151" s="35"/>
      <c r="AN151" s="87">
        <f t="shared" si="332"/>
        <v>0</v>
      </c>
      <c r="AO151" s="77" t="str">
        <f t="shared" si="333"/>
        <v xml:space="preserve">   </v>
      </c>
      <c r="AP151" s="87">
        <f>IF($A151&gt;AN$191, 0, IF($A151=AN$191, AO151*SUM(AN151:AN$181)*AN$194/AN$195, SUM(AN151:AN$181)*AO151))</f>
        <v>0</v>
      </c>
      <c r="AQ151" s="35"/>
      <c r="AR151" s="87">
        <f t="shared" si="334"/>
        <v>0</v>
      </c>
      <c r="AS151" s="77">
        <f t="shared" si="335"/>
        <v>3.8460000000000001E-2</v>
      </c>
      <c r="AT151" s="87">
        <f>IF($A151&gt;AR$191, 0, IF($A151=AR$191, AS151*SUM(AR151:AR$181)*AR$194/AR$195, SUM(AR151:AR$181)*AS151))</f>
        <v>1923000</v>
      </c>
      <c r="AV151" s="35">
        <f t="shared" si="336"/>
        <v>0</v>
      </c>
      <c r="AW151" s="35">
        <f t="shared" si="337"/>
        <v>2273000</v>
      </c>
      <c r="AX151" s="35"/>
      <c r="AY151" s="87">
        <f t="shared" si="338"/>
        <v>0</v>
      </c>
      <c r="AZ151" s="77">
        <f t="shared" si="339"/>
        <v>3.5000000000000003E-2</v>
      </c>
      <c r="BA151" s="87">
        <f>IF($A151&gt;AY$191, 0, IF($A151=AY$191, AZ151*SUM(AY151:AY$181)*AY$194/AY$195, SUM(AY151:AY$181)*AZ151))</f>
        <v>350000.00000000006</v>
      </c>
      <c r="BB151" s="61"/>
      <c r="BC151" s="87">
        <f t="shared" si="340"/>
        <v>0</v>
      </c>
      <c r="BD151" s="77">
        <f t="shared" si="341"/>
        <v>3.5000000000000003E-2</v>
      </c>
      <c r="BE151" s="87">
        <f>IF($A151&gt;BC$191, 0, IF($A151=BC$191, BD151*SUM(BC151:BC$181)*BC$194/BC$195, SUM(BC151:BC$181)*BD151))</f>
        <v>1050000</v>
      </c>
      <c r="BF151" s="61"/>
      <c r="BG151" s="87">
        <f t="shared" si="342"/>
        <v>0</v>
      </c>
      <c r="BH151" s="77">
        <f t="shared" si="343"/>
        <v>3.5000000000000003E-2</v>
      </c>
      <c r="BI151" s="87">
        <f>IF($A151&gt;BG$191, 0, IF($A151=BG$191, BH151*SUM(BG151:BG$181)*BG$194/BG$195, SUM(BG151:BG$181)*BH151))</f>
        <v>2625000.0000000005</v>
      </c>
      <c r="BJ151" s="61"/>
      <c r="BK151" s="35">
        <f t="shared" si="364"/>
        <v>0</v>
      </c>
      <c r="BL151" s="35">
        <f t="shared" si="365"/>
        <v>4025000.0000000005</v>
      </c>
      <c r="BM151" s="8"/>
      <c r="BN151" s="87">
        <f t="shared" si="344"/>
        <v>0</v>
      </c>
      <c r="BO151" s="77" t="str">
        <f t="shared" si="345"/>
        <v xml:space="preserve">   </v>
      </c>
      <c r="BP151" s="87">
        <f>IF($A151&gt;BN$191, 0, IF($A151=BN$191, BO151*SUM(BN151:BN$181)*BN$194/BN$195, SUM(BN151:BN$181)*BO151))</f>
        <v>0</v>
      </c>
      <c r="BQ151" s="77"/>
      <c r="BR151" s="87"/>
      <c r="BS151" s="77"/>
      <c r="BT151" s="87"/>
      <c r="BU151" s="87"/>
      <c r="BV151" s="35">
        <f t="shared" si="366"/>
        <v>0</v>
      </c>
      <c r="BW151" s="35">
        <f t="shared" si="367"/>
        <v>0</v>
      </c>
      <c r="BX151" s="87"/>
      <c r="BY151" s="87">
        <f t="shared" si="346"/>
        <v>0</v>
      </c>
      <c r="BZ151" s="77" t="str">
        <f t="shared" si="347"/>
        <v xml:space="preserve">   </v>
      </c>
      <c r="CA151" s="87">
        <f>IF($A151&gt;BY$191, 0, IF($A151=BY$191, BZ151*SUM(BY151:BY$181)*BY$194/BY$195, SUM(BY151:BY$181)*BZ151))</f>
        <v>0</v>
      </c>
      <c r="CB151" s="87"/>
      <c r="CC151" s="87">
        <f t="shared" si="348"/>
        <v>5000000</v>
      </c>
      <c r="CD151" s="77">
        <f t="shared" si="349"/>
        <v>3.5000000000000003E-2</v>
      </c>
      <c r="CE151" s="87">
        <f>IF($A151&gt;CC$191, 0, IF($A151=CC$191, CD151*SUM(CC151:CC$181)*CC$194/CC$195, SUM(CC151:CC$181)*CD151))</f>
        <v>43750.000000000007</v>
      </c>
      <c r="CF151" s="87"/>
      <c r="CG151" s="87"/>
      <c r="CH151" s="77"/>
      <c r="CI151" s="87"/>
      <c r="CJ151" s="87"/>
      <c r="CK151" s="87">
        <f t="shared" si="350"/>
        <v>0</v>
      </c>
      <c r="CL151" s="77">
        <f t="shared" si="351"/>
        <v>3.5000000000000003E-2</v>
      </c>
      <c r="CM151" s="87">
        <f>IF($A151&gt;CK$191, 0, IF($A151=CK$191, CL151*SUM(CK151:CK$181)*CK$194/CK$195, SUM(CK151:CK$181)*CL151))</f>
        <v>2625000.0000000005</v>
      </c>
      <c r="CN151" s="87"/>
      <c r="CO151" s="162">
        <f t="shared" si="352"/>
        <v>5000000</v>
      </c>
      <c r="CP151" s="87">
        <f t="shared" si="353"/>
        <v>2668750.0000000005</v>
      </c>
      <c r="CQ151" s="6"/>
      <c r="CR151" s="87">
        <f t="shared" si="354"/>
        <v>0</v>
      </c>
      <c r="CS151" s="77" t="str">
        <f t="shared" si="355"/>
        <v xml:space="preserve">   </v>
      </c>
      <c r="CT151" s="87">
        <f>IF($A151&gt;CR$191, 0, IF($A151=CR$191, CS151*SUM(CR151:CR$181)*CR$194/CR$195, SUM(CR151:CR$181)*CS151))</f>
        <v>0</v>
      </c>
      <c r="CZ151" s="165">
        <f t="shared" si="356"/>
        <v>0</v>
      </c>
      <c r="DA151" s="165">
        <f t="shared" si="357"/>
        <v>0</v>
      </c>
      <c r="DB151" s="87"/>
      <c r="DC151" s="87">
        <f t="shared" si="358"/>
        <v>0</v>
      </c>
      <c r="DD151" s="77">
        <f t="shared" si="359"/>
        <v>3.5000000000000003E-2</v>
      </c>
      <c r="DE151" s="87">
        <f>IF($A151&gt;DC$191, 0, IF($A151=DC$191, DD151*SUM(DC151:DC$181)*DC$194/DC$195, SUM(DC151:DC$181)*DD151))</f>
        <v>4936050.0000000009</v>
      </c>
      <c r="DF151" s="87"/>
      <c r="DG151" s="87"/>
      <c r="DH151" s="87"/>
      <c r="DI151" s="87"/>
      <c r="DJ151" s="87"/>
      <c r="DK151" s="87"/>
      <c r="DL151" s="87"/>
      <c r="DM151" s="87"/>
      <c r="DN151" s="87"/>
      <c r="DO151" s="87"/>
      <c r="DP151" s="87"/>
      <c r="DQ151" s="87"/>
      <c r="DR151" s="87"/>
      <c r="DS151" s="87"/>
      <c r="DT151" s="87"/>
      <c r="DU151" s="87"/>
      <c r="DW151" s="165">
        <f t="shared" si="368"/>
        <v>5000000</v>
      </c>
      <c r="DX151" s="165">
        <f t="shared" si="369"/>
        <v>13902800</v>
      </c>
      <c r="DY151" s="87"/>
      <c r="DZ151" s="53">
        <f t="shared" si="360"/>
        <v>2030</v>
      </c>
      <c r="EA151" s="35">
        <f t="shared" si="361"/>
        <v>5000000</v>
      </c>
      <c r="EB151" s="35">
        <f t="shared" si="362"/>
        <v>18277800</v>
      </c>
      <c r="ED151" s="181">
        <f t="shared" si="370"/>
        <v>7</v>
      </c>
    </row>
    <row r="152" spans="1:134" s="33" customFormat="1" outlineLevel="1">
      <c r="A152" s="7">
        <f t="shared" si="363"/>
        <v>2031</v>
      </c>
      <c r="B152" s="151">
        <f>Assumptions!B15</f>
        <v>5.3800000000000001E-2</v>
      </c>
      <c r="C152" s="151">
        <f>Assumptions!C15</f>
        <v>5.3800000000000001E-2</v>
      </c>
      <c r="D152" s="151">
        <f>Assumptions!D15</f>
        <v>3.5000000000000003E-2</v>
      </c>
      <c r="E152" s="151">
        <f>Assumptions!E15</f>
        <v>5.2999999999999999E-2</v>
      </c>
      <c r="F152" s="8"/>
      <c r="G152" s="8"/>
      <c r="H152" s="8"/>
      <c r="I152" s="8"/>
      <c r="J152" s="8"/>
      <c r="K152" s="8"/>
      <c r="L152" s="8"/>
      <c r="M152" s="87">
        <f t="shared" si="320"/>
        <v>0</v>
      </c>
      <c r="N152" s="77" t="str">
        <f t="shared" si="321"/>
        <v xml:space="preserve">   </v>
      </c>
      <c r="O152" s="87">
        <f>IF($A152&gt;M$191, 0, IF($A152=M$191, N152*SUM(M152:M$181)*M$194/M$195, SUM(M152:M$181)*N152))</f>
        <v>0</v>
      </c>
      <c r="P152" s="35"/>
      <c r="Q152" s="87">
        <f t="shared" si="322"/>
        <v>0</v>
      </c>
      <c r="R152" s="77" t="str">
        <f t="shared" si="323"/>
        <v xml:space="preserve">   </v>
      </c>
      <c r="S152" s="87">
        <f>IF($A152&gt;Q$191, 0, IF($A152=Q$191, R152*SUM(Q152:Q$181)*Q$194/Q$195, SUM(Q152:Q$181)*R152))</f>
        <v>0</v>
      </c>
      <c r="T152" s="35"/>
      <c r="U152" s="35">
        <f t="shared" si="324"/>
        <v>0</v>
      </c>
      <c r="V152" s="35">
        <f t="shared" si="325"/>
        <v>0</v>
      </c>
      <c r="W152" s="35"/>
      <c r="X152" s="87">
        <f t="shared" si="326"/>
        <v>0</v>
      </c>
      <c r="Y152" s="77" t="str">
        <f t="shared" si="327"/>
        <v xml:space="preserve">   </v>
      </c>
      <c r="Z152" s="87">
        <f>IF($A152&gt;X$191, 0, IF($A152=X$191, Y152*SUM(X152:X$181)*X$194/X$195, SUM(X152:X$181)*Y152))</f>
        <v>0</v>
      </c>
      <c r="AA152" s="87"/>
      <c r="AB152" s="87">
        <f t="shared" si="328"/>
        <v>0</v>
      </c>
      <c r="AC152" s="77">
        <f t="shared" si="329"/>
        <v>3.5000000000000003E-2</v>
      </c>
      <c r="AD152" s="87">
        <f>IF($A152&gt;AB$191, 0, IF($A152=AB$191, AC152*SUM(AB152:AB$181)*AB$194/AB$195, SUM(AB152:AB$181)*AC152))</f>
        <v>4375000</v>
      </c>
      <c r="AE152" s="35"/>
      <c r="AF152" s="87">
        <f t="shared" si="330"/>
        <v>0</v>
      </c>
      <c r="AG152" s="77">
        <f t="shared" si="331"/>
        <v>3.5000000000000003E-2</v>
      </c>
      <c r="AH152" s="87">
        <f>IF($A152&gt;AF$191, 0, IF($A152=AF$191, AG152*SUM(AF152:AF$181)*AF$194/AF$195, SUM(AF152:AF$181)*AG152))</f>
        <v>350000.00000000006</v>
      </c>
      <c r="AI152" s="35"/>
      <c r="AJ152" s="87"/>
      <c r="AK152" s="77"/>
      <c r="AL152" s="87"/>
      <c r="AM152" s="35"/>
      <c r="AN152" s="87">
        <f t="shared" si="332"/>
        <v>0</v>
      </c>
      <c r="AO152" s="77" t="str">
        <f t="shared" si="333"/>
        <v xml:space="preserve">   </v>
      </c>
      <c r="AP152" s="87">
        <f>IF($A152&gt;AN$191, 0, IF($A152=AN$191, AO152*SUM(AN152:AN$181)*AN$194/AN$195, SUM(AN152:AN$181)*AO152))</f>
        <v>0</v>
      </c>
      <c r="AQ152" s="35"/>
      <c r="AR152" s="87">
        <f t="shared" si="334"/>
        <v>0</v>
      </c>
      <c r="AS152" s="77">
        <f t="shared" si="335"/>
        <v>3.8460000000000001E-2</v>
      </c>
      <c r="AT152" s="87">
        <f>IF($A152&gt;AR$191, 0, IF($A152=AR$191, AS152*SUM(AR152:AR$181)*AR$194/AR$195, SUM(AR152:AR$181)*AS152))</f>
        <v>1923000</v>
      </c>
      <c r="AV152" s="35">
        <f t="shared" si="336"/>
        <v>0</v>
      </c>
      <c r="AW152" s="35">
        <f t="shared" si="337"/>
        <v>2273000</v>
      </c>
      <c r="AX152" s="35"/>
      <c r="AY152" s="87">
        <f t="shared" si="338"/>
        <v>0</v>
      </c>
      <c r="AZ152" s="77">
        <f t="shared" si="339"/>
        <v>3.5000000000000003E-2</v>
      </c>
      <c r="BA152" s="87">
        <f>IF($A152&gt;AY$191, 0, IF($A152=AY$191, AZ152*SUM(AY152:AY$181)*AY$194/AY$195, SUM(AY152:AY$181)*AZ152))</f>
        <v>350000.00000000006</v>
      </c>
      <c r="BB152" s="61"/>
      <c r="BC152" s="87">
        <f t="shared" si="340"/>
        <v>0</v>
      </c>
      <c r="BD152" s="77">
        <f t="shared" si="341"/>
        <v>3.5000000000000003E-2</v>
      </c>
      <c r="BE152" s="87">
        <f>IF($A152&gt;BC$191, 0, IF($A152=BC$191, BD152*SUM(BC152:BC$181)*BC$194/BC$195, SUM(BC152:BC$181)*BD152))</f>
        <v>1050000</v>
      </c>
      <c r="BF152" s="61"/>
      <c r="BG152" s="87">
        <f t="shared" si="342"/>
        <v>0</v>
      </c>
      <c r="BH152" s="77">
        <f t="shared" si="343"/>
        <v>3.5000000000000003E-2</v>
      </c>
      <c r="BI152" s="87">
        <f>IF($A152&gt;BG$191, 0, IF($A152=BG$191, BH152*SUM(BG152:BG$181)*BG$194/BG$195, SUM(BG152:BG$181)*BH152))</f>
        <v>2625000.0000000005</v>
      </c>
      <c r="BJ152" s="61"/>
      <c r="BK152" s="35">
        <f t="shared" si="364"/>
        <v>0</v>
      </c>
      <c r="BL152" s="35">
        <f t="shared" si="365"/>
        <v>4025000.0000000005</v>
      </c>
      <c r="BM152" s="8"/>
      <c r="BN152" s="87">
        <f t="shared" si="344"/>
        <v>0</v>
      </c>
      <c r="BO152" s="77" t="str">
        <f t="shared" si="345"/>
        <v xml:space="preserve">   </v>
      </c>
      <c r="BP152" s="87">
        <f>IF($A152&gt;BN$191, 0, IF($A152=BN$191, BO152*SUM(BN152:BN$181)*BN$194/BN$195, SUM(BN152:BN$181)*BO152))</f>
        <v>0</v>
      </c>
      <c r="BQ152" s="77"/>
      <c r="BR152" s="87"/>
      <c r="BS152" s="77"/>
      <c r="BT152" s="87"/>
      <c r="BU152" s="87"/>
      <c r="BV152" s="35">
        <f t="shared" si="366"/>
        <v>0</v>
      </c>
      <c r="BW152" s="35">
        <f t="shared" si="367"/>
        <v>0</v>
      </c>
      <c r="BX152" s="87"/>
      <c r="BY152" s="87">
        <f t="shared" si="346"/>
        <v>0</v>
      </c>
      <c r="BZ152" s="77" t="str">
        <f t="shared" si="347"/>
        <v xml:space="preserve">   </v>
      </c>
      <c r="CA152" s="87">
        <f>IF($A152&gt;BY$191, 0, IF($A152=BY$191, BZ152*SUM(BY152:BY$181)*BY$194/BY$195, SUM(BY152:BY$181)*BZ152))</f>
        <v>0</v>
      </c>
      <c r="CB152" s="87"/>
      <c r="CC152" s="87">
        <f t="shared" si="348"/>
        <v>0</v>
      </c>
      <c r="CD152" s="77" t="str">
        <f t="shared" si="349"/>
        <v xml:space="preserve">   </v>
      </c>
      <c r="CE152" s="87">
        <f>IF($A152&gt;CC$191, 0, IF($A152=CC$191, CD152*SUM(CC152:CC$181)*CC$194/CC$195, SUM(CC152:CC$181)*CD152))</f>
        <v>0</v>
      </c>
      <c r="CF152" s="87"/>
      <c r="CG152" s="87"/>
      <c r="CH152" s="77"/>
      <c r="CI152" s="87"/>
      <c r="CJ152" s="87"/>
      <c r="CK152" s="87">
        <f t="shared" si="350"/>
        <v>0</v>
      </c>
      <c r="CL152" s="77">
        <f t="shared" si="351"/>
        <v>3.5000000000000003E-2</v>
      </c>
      <c r="CM152" s="87">
        <f>IF($A152&gt;CK$191, 0, IF($A152=CK$191, CL152*SUM(CK152:CK$181)*CK$194/CK$195, SUM(CK152:CK$181)*CL152))</f>
        <v>2625000.0000000005</v>
      </c>
      <c r="CN152" s="87"/>
      <c r="CO152" s="162">
        <f t="shared" si="352"/>
        <v>0</v>
      </c>
      <c r="CP152" s="87">
        <f t="shared" si="353"/>
        <v>2625000.0000000005</v>
      </c>
      <c r="CQ152" s="6"/>
      <c r="CR152" s="87">
        <f t="shared" si="354"/>
        <v>0</v>
      </c>
      <c r="CS152" s="77" t="str">
        <f t="shared" si="355"/>
        <v xml:space="preserve">   </v>
      </c>
      <c r="CT152" s="87">
        <f>IF($A152&gt;CR$191, 0, IF($A152=CR$191, CS152*SUM(CR152:CR$181)*CR$194/CR$195, SUM(CR152:CR$181)*CS152))</f>
        <v>0</v>
      </c>
      <c r="CZ152" s="165">
        <f t="shared" si="356"/>
        <v>0</v>
      </c>
      <c r="DA152" s="165">
        <f t="shared" si="357"/>
        <v>0</v>
      </c>
      <c r="DB152" s="87"/>
      <c r="DC152" s="87">
        <f t="shared" si="358"/>
        <v>0</v>
      </c>
      <c r="DD152" s="77">
        <f t="shared" si="359"/>
        <v>3.5000000000000003E-2</v>
      </c>
      <c r="DE152" s="87">
        <f>IF($A152&gt;DC$191, 0, IF($A152=DC$191, DD152*SUM(DC152:DC$181)*DC$194/DC$195, SUM(DC152:DC$181)*DD152))</f>
        <v>4936050.0000000009</v>
      </c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W152" s="165">
        <f t="shared" si="368"/>
        <v>0</v>
      </c>
      <c r="DX152" s="165">
        <f t="shared" si="369"/>
        <v>13859050</v>
      </c>
      <c r="DY152" s="87"/>
      <c r="DZ152" s="53">
        <f t="shared" si="360"/>
        <v>2031</v>
      </c>
      <c r="EA152" s="35">
        <f t="shared" si="361"/>
        <v>0</v>
      </c>
      <c r="EB152" s="35">
        <f t="shared" si="362"/>
        <v>18234050</v>
      </c>
      <c r="ED152" s="181">
        <f t="shared" si="370"/>
        <v>8</v>
      </c>
    </row>
    <row r="153" spans="1:134" s="33" customFormat="1" outlineLevel="1">
      <c r="A153" s="7">
        <f t="shared" si="363"/>
        <v>2032</v>
      </c>
      <c r="B153" s="151">
        <f>Assumptions!B16</f>
        <v>5.3800000000000001E-2</v>
      </c>
      <c r="C153" s="151">
        <f>Assumptions!C16</f>
        <v>5.3800000000000001E-2</v>
      </c>
      <c r="D153" s="151">
        <f>Assumptions!D16</f>
        <v>3.5000000000000003E-2</v>
      </c>
      <c r="E153" s="151">
        <f>Assumptions!E16</f>
        <v>5.2999999999999999E-2</v>
      </c>
      <c r="F153" s="8"/>
      <c r="G153" s="8"/>
      <c r="H153" s="8"/>
      <c r="I153" s="8"/>
      <c r="J153" s="8"/>
      <c r="K153" s="8"/>
      <c r="L153" s="86"/>
      <c r="M153" s="87">
        <f t="shared" si="320"/>
        <v>0</v>
      </c>
      <c r="N153" s="77" t="str">
        <f t="shared" si="321"/>
        <v xml:space="preserve">   </v>
      </c>
      <c r="O153" s="87">
        <f>IF($A153&gt;M$191, 0, IF($A153=M$191, N153*SUM(M153:M$181)*M$194/M$195, SUM(M153:M$181)*N153))</f>
        <v>0</v>
      </c>
      <c r="P153" s="35"/>
      <c r="Q153" s="87">
        <f t="shared" si="322"/>
        <v>0</v>
      </c>
      <c r="R153" s="77" t="str">
        <f t="shared" si="323"/>
        <v xml:space="preserve">   </v>
      </c>
      <c r="S153" s="87">
        <f>IF($A153&gt;Q$191, 0, IF($A153=Q$191, R153*SUM(Q153:Q$181)*Q$194/Q$195, SUM(Q153:Q$181)*R153))</f>
        <v>0</v>
      </c>
      <c r="T153" s="35"/>
      <c r="U153" s="35">
        <f t="shared" si="324"/>
        <v>0</v>
      </c>
      <c r="V153" s="35">
        <f t="shared" si="325"/>
        <v>0</v>
      </c>
      <c r="W153" s="87"/>
      <c r="X153" s="87">
        <f t="shared" si="326"/>
        <v>0</v>
      </c>
      <c r="Y153" s="77" t="str">
        <f t="shared" si="327"/>
        <v xml:space="preserve">   </v>
      </c>
      <c r="Z153" s="87">
        <f>IF($A153&gt;X$191, 0, IF($A153=X$191, Y153*SUM(X153:X$181)*X$194/X$195, SUM(X153:X$181)*Y153))</f>
        <v>0</v>
      </c>
      <c r="AA153" s="87"/>
      <c r="AB153" s="87">
        <f t="shared" si="328"/>
        <v>125000000</v>
      </c>
      <c r="AC153" s="77">
        <f t="shared" si="329"/>
        <v>3.5000000000000003E-2</v>
      </c>
      <c r="AD153" s="87">
        <f>IF($A153&gt;AB$191, 0, IF($A153=AB$191, AC153*SUM(AB153:AB$181)*AB$194/AB$195, SUM(AB153:AB$181)*AC153))</f>
        <v>2552083.3333333335</v>
      </c>
      <c r="AE153" s="87"/>
      <c r="AF153" s="87">
        <f t="shared" si="330"/>
        <v>0</v>
      </c>
      <c r="AG153" s="77">
        <f t="shared" si="331"/>
        <v>3.5000000000000003E-2</v>
      </c>
      <c r="AH153" s="87">
        <f>IF($A153&gt;AF$191, 0, IF($A153=AF$191, AG153*SUM(AF153:AF$181)*AF$194/AF$195, SUM(AF153:AF$181)*AG153))</f>
        <v>350000.00000000006</v>
      </c>
      <c r="AI153" s="35"/>
      <c r="AJ153" s="87"/>
      <c r="AK153" s="77"/>
      <c r="AL153" s="87"/>
      <c r="AM153" s="35"/>
      <c r="AN153" s="87">
        <f t="shared" si="332"/>
        <v>0</v>
      </c>
      <c r="AO153" s="77" t="str">
        <f t="shared" si="333"/>
        <v xml:space="preserve">   </v>
      </c>
      <c r="AP153" s="87">
        <f>IF($A153&gt;AN$191, 0, IF($A153=AN$191, AO153*SUM(AN153:AN$181)*AN$194/AN$195, SUM(AN153:AN$181)*AO153))</f>
        <v>0</v>
      </c>
      <c r="AQ153" s="87"/>
      <c r="AR153" s="87">
        <f t="shared" si="334"/>
        <v>0</v>
      </c>
      <c r="AS153" s="77">
        <f t="shared" si="335"/>
        <v>3.8460000000000001E-2</v>
      </c>
      <c r="AT153" s="87">
        <f>IF($A153&gt;AR$191, 0, IF($A153=AR$191, AS153*SUM(AR153:AR$181)*AR$194/AR$195, SUM(AR153:AR$181)*AS153))</f>
        <v>1923000</v>
      </c>
      <c r="AV153" s="35">
        <f t="shared" si="336"/>
        <v>0</v>
      </c>
      <c r="AW153" s="35">
        <f t="shared" si="337"/>
        <v>2273000</v>
      </c>
      <c r="AX153" s="87"/>
      <c r="AY153" s="87">
        <f t="shared" si="338"/>
        <v>0</v>
      </c>
      <c r="AZ153" s="77">
        <f t="shared" si="339"/>
        <v>3.5000000000000003E-2</v>
      </c>
      <c r="BA153" s="87">
        <f>IF($A153&gt;AY$191, 0, IF($A153=AY$191, AZ153*SUM(AY153:AY$181)*AY$194/AY$195, SUM(AY153:AY$181)*AZ153))</f>
        <v>350000.00000000006</v>
      </c>
      <c r="BB153" s="61"/>
      <c r="BC153" s="87">
        <f t="shared" si="340"/>
        <v>0</v>
      </c>
      <c r="BD153" s="77">
        <f t="shared" si="341"/>
        <v>3.5000000000000003E-2</v>
      </c>
      <c r="BE153" s="87">
        <f>IF($A153&gt;BC$191, 0, IF($A153=BC$191, BD153*SUM(BC153:BC$181)*BC$194/BC$195, SUM(BC153:BC$181)*BD153))</f>
        <v>1050000</v>
      </c>
      <c r="BF153" s="61"/>
      <c r="BG153" s="87">
        <f t="shared" si="342"/>
        <v>0</v>
      </c>
      <c r="BH153" s="77">
        <f t="shared" si="343"/>
        <v>3.5000000000000003E-2</v>
      </c>
      <c r="BI153" s="87">
        <f>IF($A153&gt;BG$191, 0, IF($A153=BG$191, BH153*SUM(BG153:BG$181)*BG$194/BG$195, SUM(BG153:BG$181)*BH153))</f>
        <v>2625000.0000000005</v>
      </c>
      <c r="BJ153" s="61"/>
      <c r="BK153" s="35">
        <f t="shared" si="364"/>
        <v>0</v>
      </c>
      <c r="BL153" s="35">
        <f t="shared" si="365"/>
        <v>4025000.0000000005</v>
      </c>
      <c r="BM153" s="86"/>
      <c r="BN153" s="87">
        <f t="shared" si="344"/>
        <v>0</v>
      </c>
      <c r="BO153" s="77" t="str">
        <f t="shared" si="345"/>
        <v xml:space="preserve">   </v>
      </c>
      <c r="BP153" s="87">
        <f>IF($A153&gt;BN$191, 0, IF($A153=BN$191, BO153*SUM(BN153:BN$181)*BN$194/BN$195, SUM(BN153:BN$181)*BO153))</f>
        <v>0</v>
      </c>
      <c r="BQ153" s="77"/>
      <c r="BR153" s="87"/>
      <c r="BS153" s="77"/>
      <c r="BT153" s="87"/>
      <c r="BU153" s="87"/>
      <c r="BV153" s="35">
        <f t="shared" si="366"/>
        <v>0</v>
      </c>
      <c r="BW153" s="35">
        <f t="shared" si="367"/>
        <v>0</v>
      </c>
      <c r="BX153" s="87"/>
      <c r="BY153" s="87">
        <f t="shared" si="346"/>
        <v>0</v>
      </c>
      <c r="BZ153" s="77" t="str">
        <f t="shared" si="347"/>
        <v xml:space="preserve">   </v>
      </c>
      <c r="CA153" s="87">
        <f>IF($A153&gt;BY$191, 0, IF($A153=BY$191, BZ153*SUM(BY153:BY$181)*BY$194/BY$195, SUM(BY153:BY$181)*BZ153))</f>
        <v>0</v>
      </c>
      <c r="CB153" s="87"/>
      <c r="CC153" s="87">
        <f t="shared" si="348"/>
        <v>0</v>
      </c>
      <c r="CD153" s="77" t="str">
        <f t="shared" si="349"/>
        <v xml:space="preserve">   </v>
      </c>
      <c r="CE153" s="87">
        <f>IF($A153&gt;CC$191, 0, IF($A153=CC$191, CD153*SUM(CC153:CC$181)*CC$194/CC$195, SUM(CC153:CC$181)*CD153))</f>
        <v>0</v>
      </c>
      <c r="CF153" s="87"/>
      <c r="CG153" s="87"/>
      <c r="CH153" s="77"/>
      <c r="CI153" s="87"/>
      <c r="CJ153" s="87"/>
      <c r="CK153" s="87">
        <f t="shared" si="350"/>
        <v>0</v>
      </c>
      <c r="CL153" s="77">
        <f t="shared" si="351"/>
        <v>3.5000000000000003E-2</v>
      </c>
      <c r="CM153" s="87">
        <f>IF($A153&gt;CK$191, 0, IF($A153=CK$191, CL153*SUM(CK153:CK$181)*CK$194/CK$195, SUM(CK153:CK$181)*CL153))</f>
        <v>2625000.0000000005</v>
      </c>
      <c r="CN153" s="87"/>
      <c r="CO153" s="162">
        <f t="shared" si="352"/>
        <v>0</v>
      </c>
      <c r="CP153" s="87">
        <f t="shared" si="353"/>
        <v>2625000.0000000005</v>
      </c>
      <c r="CQ153" s="6"/>
      <c r="CR153" s="87">
        <f t="shared" si="354"/>
        <v>0</v>
      </c>
      <c r="CS153" s="77" t="str">
        <f t="shared" si="355"/>
        <v xml:space="preserve">   </v>
      </c>
      <c r="CT153" s="87">
        <f>IF($A153&gt;CR$191, 0, IF($A153=CR$191, CS153*SUM(CR153:CR$181)*CR$194/CR$195, SUM(CR153:CR$181)*CS153))</f>
        <v>0</v>
      </c>
      <c r="CZ153" s="165">
        <f t="shared" si="356"/>
        <v>0</v>
      </c>
      <c r="DA153" s="165">
        <f t="shared" si="357"/>
        <v>0</v>
      </c>
      <c r="DB153" s="87"/>
      <c r="DC153" s="87">
        <f t="shared" si="358"/>
        <v>0</v>
      </c>
      <c r="DD153" s="77">
        <f t="shared" si="359"/>
        <v>3.5000000000000003E-2</v>
      </c>
      <c r="DE153" s="87">
        <f>IF($A153&gt;DC$191, 0, IF($A153=DC$191, DD153*SUM(DC153:DC$181)*DC$194/DC$195, SUM(DC153:DC$181)*DD153))</f>
        <v>4936050.0000000009</v>
      </c>
      <c r="DF153" s="87"/>
      <c r="DG153" s="87"/>
      <c r="DH153" s="87"/>
      <c r="DI153" s="87"/>
      <c r="DJ153" s="87"/>
      <c r="DK153" s="87"/>
      <c r="DL153" s="87"/>
      <c r="DM153" s="87"/>
      <c r="DN153" s="87"/>
      <c r="DO153" s="87"/>
      <c r="DP153" s="87"/>
      <c r="DQ153" s="87"/>
      <c r="DR153" s="87"/>
      <c r="DS153" s="87"/>
      <c r="DT153" s="87"/>
      <c r="DU153" s="87"/>
      <c r="DW153" s="165">
        <f t="shared" si="368"/>
        <v>0</v>
      </c>
      <c r="DX153" s="165">
        <f t="shared" si="369"/>
        <v>13859050</v>
      </c>
      <c r="DY153" s="87"/>
      <c r="DZ153" s="53">
        <f t="shared" si="360"/>
        <v>2032</v>
      </c>
      <c r="EA153" s="35">
        <f t="shared" si="361"/>
        <v>125000000</v>
      </c>
      <c r="EB153" s="35">
        <f t="shared" si="362"/>
        <v>16411133.333333334</v>
      </c>
      <c r="ED153" s="181">
        <f t="shared" si="370"/>
        <v>9</v>
      </c>
    </row>
    <row r="154" spans="1:134" s="33" customFormat="1" outlineLevel="1">
      <c r="A154" s="7">
        <f t="shared" si="363"/>
        <v>2033</v>
      </c>
      <c r="B154" s="151">
        <f>Assumptions!B17</f>
        <v>5.3800000000000001E-2</v>
      </c>
      <c r="C154" s="151">
        <f>Assumptions!C17</f>
        <v>5.3800000000000001E-2</v>
      </c>
      <c r="D154" s="151">
        <f>Assumptions!D17</f>
        <v>3.5000000000000003E-2</v>
      </c>
      <c r="E154" s="151">
        <f>Assumptions!E17</f>
        <v>5.2999999999999999E-2</v>
      </c>
      <c r="F154" s="8"/>
      <c r="G154" s="8"/>
      <c r="H154" s="8"/>
      <c r="I154" s="8"/>
      <c r="J154" s="8"/>
      <c r="K154" s="8"/>
      <c r="L154" s="86"/>
      <c r="M154" s="87">
        <f t="shared" si="320"/>
        <v>0</v>
      </c>
      <c r="N154" s="77" t="str">
        <f t="shared" si="321"/>
        <v xml:space="preserve">   </v>
      </c>
      <c r="O154" s="87">
        <f>IF($A154&gt;M$191, 0, IF($A154=M$191, N154*SUM(M154:M$181)*M$194/M$195, SUM(M154:M$181)*N154))</f>
        <v>0</v>
      </c>
      <c r="P154" s="35"/>
      <c r="Q154" s="87">
        <f t="shared" si="322"/>
        <v>0</v>
      </c>
      <c r="R154" s="77" t="str">
        <f t="shared" si="323"/>
        <v xml:space="preserve">   </v>
      </c>
      <c r="S154" s="87">
        <f>IF($A154&gt;Q$191, 0, IF($A154=Q$191, R154*SUM(Q154:Q$181)*Q$194/Q$195, SUM(Q154:Q$181)*R154))</f>
        <v>0</v>
      </c>
      <c r="T154" s="35"/>
      <c r="U154" s="35">
        <f t="shared" si="324"/>
        <v>0</v>
      </c>
      <c r="V154" s="35">
        <f t="shared" si="325"/>
        <v>0</v>
      </c>
      <c r="W154" s="87"/>
      <c r="X154" s="87">
        <f t="shared" si="326"/>
        <v>0</v>
      </c>
      <c r="Y154" s="77" t="str">
        <f t="shared" si="327"/>
        <v xml:space="preserve">   </v>
      </c>
      <c r="Z154" s="87">
        <f>IF($A154&gt;X$191, 0, IF($A154=X$191, Y154*SUM(X154:X$181)*X$194/X$195, SUM(X154:X$181)*Y154))</f>
        <v>0</v>
      </c>
      <c r="AA154" s="87"/>
      <c r="AB154" s="87">
        <f t="shared" si="328"/>
        <v>0</v>
      </c>
      <c r="AC154" s="77" t="str">
        <f t="shared" si="329"/>
        <v xml:space="preserve">   </v>
      </c>
      <c r="AD154" s="87">
        <f>IF($A154&gt;AB$191, 0, IF($A154=AB$191, AC154*SUM(AB154:AB$181)*AB$194/AB$195, SUM(AB154:AB$181)*AC154))</f>
        <v>0</v>
      </c>
      <c r="AE154" s="87"/>
      <c r="AF154" s="87">
        <f t="shared" si="330"/>
        <v>0</v>
      </c>
      <c r="AG154" s="77">
        <f t="shared" si="331"/>
        <v>3.5000000000000003E-2</v>
      </c>
      <c r="AH154" s="87">
        <f>IF($A154&gt;AF$191, 0, IF($A154=AF$191, AG154*SUM(AF154:AF$181)*AF$194/AF$195, SUM(AF154:AF$181)*AG154))</f>
        <v>350000.00000000006</v>
      </c>
      <c r="AI154" s="35"/>
      <c r="AJ154" s="87"/>
      <c r="AK154" s="77"/>
      <c r="AL154" s="87"/>
      <c r="AM154" s="35"/>
      <c r="AN154" s="87">
        <f t="shared" si="332"/>
        <v>0</v>
      </c>
      <c r="AO154" s="77" t="str">
        <f t="shared" si="333"/>
        <v xml:space="preserve">   </v>
      </c>
      <c r="AP154" s="87">
        <f>IF($A154&gt;AN$191, 0, IF($A154=AN$191, AO154*SUM(AN154:AN$181)*AN$194/AN$195, SUM(AN154:AN$181)*AO154))</f>
        <v>0</v>
      </c>
      <c r="AQ154" s="87"/>
      <c r="AR154" s="87">
        <f t="shared" si="334"/>
        <v>0</v>
      </c>
      <c r="AS154" s="77">
        <f t="shared" si="335"/>
        <v>3.8460000000000001E-2</v>
      </c>
      <c r="AT154" s="87">
        <f>IF($A154&gt;AR$191, 0, IF($A154=AR$191, AS154*SUM(AR154:AR$181)*AR$194/AR$195, SUM(AR154:AR$181)*AS154))</f>
        <v>1923000</v>
      </c>
      <c r="AV154" s="35">
        <f t="shared" si="336"/>
        <v>0</v>
      </c>
      <c r="AW154" s="35">
        <f t="shared" si="337"/>
        <v>2273000</v>
      </c>
      <c r="AX154" s="87"/>
      <c r="AY154" s="87">
        <f t="shared" si="338"/>
        <v>10000000</v>
      </c>
      <c r="AZ154" s="77">
        <f t="shared" si="339"/>
        <v>3.5000000000000003E-2</v>
      </c>
      <c r="BA154" s="87">
        <f>IF($A154&gt;AY$191, 0, IF($A154=AY$191, AZ154*SUM(AY154:AY$181)*AY$194/AY$195, SUM(AY154:AY$181)*AZ154))</f>
        <v>262500.00000000006</v>
      </c>
      <c r="BB154" s="61"/>
      <c r="BC154" s="87">
        <f t="shared" si="340"/>
        <v>0</v>
      </c>
      <c r="BD154" s="77">
        <f t="shared" si="341"/>
        <v>3.5000000000000003E-2</v>
      </c>
      <c r="BE154" s="87">
        <f>IF($A154&gt;BC$191, 0, IF($A154=BC$191, BD154*SUM(BC154:BC$181)*BC$194/BC$195, SUM(BC154:BC$181)*BD154))</f>
        <v>1050000</v>
      </c>
      <c r="BF154" s="61"/>
      <c r="BG154" s="87">
        <f t="shared" si="342"/>
        <v>0</v>
      </c>
      <c r="BH154" s="77">
        <f t="shared" si="343"/>
        <v>3.5000000000000003E-2</v>
      </c>
      <c r="BI154" s="87">
        <f>IF($A154&gt;BG$191, 0, IF($A154=BG$191, BH154*SUM(BG154:BG$181)*BG$194/BG$195, SUM(BG154:BG$181)*BH154))</f>
        <v>2625000.0000000005</v>
      </c>
      <c r="BJ154" s="61"/>
      <c r="BK154" s="35">
        <f t="shared" si="364"/>
        <v>10000000</v>
      </c>
      <c r="BL154" s="35">
        <f t="shared" si="365"/>
        <v>3937500.0000000005</v>
      </c>
      <c r="BM154" s="86"/>
      <c r="BN154" s="87">
        <f t="shared" si="344"/>
        <v>0</v>
      </c>
      <c r="BO154" s="77" t="str">
        <f t="shared" si="345"/>
        <v xml:space="preserve">   </v>
      </c>
      <c r="BP154" s="87">
        <f>IF($A154&gt;BN$191, 0, IF($A154=BN$191, BO154*SUM(BN154:BN$181)*BN$194/BN$195, SUM(BN154:BN$181)*BO154))</f>
        <v>0</v>
      </c>
      <c r="BQ154" s="77"/>
      <c r="BR154" s="87"/>
      <c r="BS154" s="77"/>
      <c r="BT154" s="87"/>
      <c r="BU154" s="87"/>
      <c r="BV154" s="35">
        <f t="shared" si="366"/>
        <v>0</v>
      </c>
      <c r="BW154" s="35">
        <f t="shared" si="367"/>
        <v>0</v>
      </c>
      <c r="BX154" s="87"/>
      <c r="BY154" s="87">
        <f t="shared" si="346"/>
        <v>0</v>
      </c>
      <c r="BZ154" s="77" t="str">
        <f t="shared" si="347"/>
        <v xml:space="preserve">   </v>
      </c>
      <c r="CA154" s="87">
        <f>IF($A154&gt;BY$191, 0, IF($A154=BY$191, BZ154*SUM(BY154:BY$181)*BY$194/BY$195, SUM(BY154:BY$181)*BZ154))</f>
        <v>0</v>
      </c>
      <c r="CB154" s="87"/>
      <c r="CC154" s="87">
        <f t="shared" si="348"/>
        <v>0</v>
      </c>
      <c r="CD154" s="77" t="str">
        <f t="shared" si="349"/>
        <v xml:space="preserve">   </v>
      </c>
      <c r="CE154" s="87">
        <f>IF($A154&gt;CC$191, 0, IF($A154=CC$191, CD154*SUM(CC154:CC$181)*CC$194/CC$195, SUM(CC154:CC$181)*CD154))</f>
        <v>0</v>
      </c>
      <c r="CF154" s="87"/>
      <c r="CG154" s="87"/>
      <c r="CH154" s="77"/>
      <c r="CI154" s="87"/>
      <c r="CJ154" s="87"/>
      <c r="CK154" s="87">
        <f t="shared" si="350"/>
        <v>0</v>
      </c>
      <c r="CL154" s="77">
        <f t="shared" si="351"/>
        <v>3.5000000000000003E-2</v>
      </c>
      <c r="CM154" s="87">
        <f>IF($A154&gt;CK$191, 0, IF($A154=CK$191, CL154*SUM(CK154:CK$181)*CK$194/CK$195, SUM(CK154:CK$181)*CL154))</f>
        <v>2625000.0000000005</v>
      </c>
      <c r="CN154" s="87"/>
      <c r="CO154" s="162">
        <f t="shared" si="352"/>
        <v>0</v>
      </c>
      <c r="CP154" s="87">
        <f t="shared" si="353"/>
        <v>2625000.0000000005</v>
      </c>
      <c r="CQ154" s="6"/>
      <c r="CR154" s="87">
        <f t="shared" si="354"/>
        <v>0</v>
      </c>
      <c r="CS154" s="77" t="str">
        <f t="shared" si="355"/>
        <v xml:space="preserve">   </v>
      </c>
      <c r="CT154" s="87">
        <f>IF($A154&gt;CR$191, 0, IF($A154=CR$191, CS154*SUM(CR154:CR$181)*CR$194/CR$195, SUM(CR154:CR$181)*CS154))</f>
        <v>0</v>
      </c>
      <c r="CZ154" s="165">
        <f t="shared" si="356"/>
        <v>0</v>
      </c>
      <c r="DA154" s="165">
        <f t="shared" si="357"/>
        <v>0</v>
      </c>
      <c r="DB154" s="87"/>
      <c r="DC154" s="87">
        <f t="shared" si="358"/>
        <v>50000000</v>
      </c>
      <c r="DD154" s="77">
        <f t="shared" si="359"/>
        <v>3.5000000000000003E-2</v>
      </c>
      <c r="DE154" s="87">
        <f>IF($A154&gt;DC$191, 0, IF($A154=DC$191, DD154*SUM(DC154:DC$181)*DC$194/DC$195, SUM(DC154:DC$181)*DD154))</f>
        <v>4936050.0000000009</v>
      </c>
      <c r="DF154" s="87"/>
      <c r="DG154" s="87"/>
      <c r="DH154" s="87"/>
      <c r="DI154" s="87"/>
      <c r="DJ154" s="87"/>
      <c r="DK154" s="87"/>
      <c r="DL154" s="87"/>
      <c r="DM154" s="87"/>
      <c r="DN154" s="87"/>
      <c r="DO154" s="87"/>
      <c r="DP154" s="87"/>
      <c r="DQ154" s="87"/>
      <c r="DR154" s="87"/>
      <c r="DS154" s="87"/>
      <c r="DT154" s="87"/>
      <c r="DU154" s="87"/>
      <c r="DW154" s="165">
        <f t="shared" si="368"/>
        <v>60000000</v>
      </c>
      <c r="DX154" s="165">
        <f t="shared" si="369"/>
        <v>13771550</v>
      </c>
      <c r="DY154" s="87"/>
      <c r="DZ154" s="53">
        <f t="shared" si="360"/>
        <v>2033</v>
      </c>
      <c r="EA154" s="35">
        <f t="shared" si="361"/>
        <v>60000000</v>
      </c>
      <c r="EB154" s="35">
        <f t="shared" si="362"/>
        <v>13771550</v>
      </c>
      <c r="ED154" s="181">
        <f t="shared" si="370"/>
        <v>10</v>
      </c>
    </row>
    <row r="155" spans="1:134" s="33" customFormat="1" outlineLevel="1">
      <c r="A155" s="7">
        <f t="shared" si="363"/>
        <v>2034</v>
      </c>
      <c r="B155" s="151">
        <f>Assumptions!B18</f>
        <v>5.3800000000000001E-2</v>
      </c>
      <c r="C155" s="151">
        <f>Assumptions!C18</f>
        <v>5.3800000000000001E-2</v>
      </c>
      <c r="D155" s="151">
        <f>Assumptions!D18</f>
        <v>3.5000000000000003E-2</v>
      </c>
      <c r="E155" s="151">
        <f>Assumptions!E18</f>
        <v>5.2999999999999999E-2</v>
      </c>
      <c r="F155" s="8"/>
      <c r="G155" s="8"/>
      <c r="H155" s="8"/>
      <c r="I155" s="8"/>
      <c r="J155" s="8"/>
      <c r="K155" s="8"/>
      <c r="L155" s="86"/>
      <c r="M155" s="87">
        <f t="shared" si="320"/>
        <v>0</v>
      </c>
      <c r="N155" s="77" t="str">
        <f t="shared" si="321"/>
        <v xml:space="preserve">   </v>
      </c>
      <c r="O155" s="87">
        <f>IF($A155&gt;M$191, 0, IF($A155=M$191, N155*SUM(M155:M$181)*M$194/M$195, SUM(M155:M$181)*N155))</f>
        <v>0</v>
      </c>
      <c r="P155" s="35"/>
      <c r="Q155" s="87">
        <f t="shared" si="322"/>
        <v>0</v>
      </c>
      <c r="R155" s="77" t="str">
        <f t="shared" si="323"/>
        <v xml:space="preserve">   </v>
      </c>
      <c r="S155" s="87">
        <f>IF($A155&gt;Q$191, 0, IF($A155=Q$191, R155*SUM(Q155:Q$181)*Q$194/Q$195, SUM(Q155:Q$181)*R155))</f>
        <v>0</v>
      </c>
      <c r="T155" s="35"/>
      <c r="U155" s="35">
        <f t="shared" si="324"/>
        <v>0</v>
      </c>
      <c r="V155" s="35">
        <f t="shared" si="325"/>
        <v>0</v>
      </c>
      <c r="W155" s="87"/>
      <c r="X155" s="87">
        <f t="shared" si="326"/>
        <v>0</v>
      </c>
      <c r="Y155" s="77" t="str">
        <f t="shared" si="327"/>
        <v xml:space="preserve">   </v>
      </c>
      <c r="Z155" s="87">
        <f>IF($A155&gt;X$191, 0, IF($A155=X$191, Y155*SUM(X155:X$181)*X$194/X$195, SUM(X155:X$181)*Y155))</f>
        <v>0</v>
      </c>
      <c r="AA155" s="87"/>
      <c r="AB155" s="87">
        <f t="shared" si="328"/>
        <v>0</v>
      </c>
      <c r="AC155" s="77" t="str">
        <f t="shared" si="329"/>
        <v xml:space="preserve">   </v>
      </c>
      <c r="AD155" s="87">
        <f>IF($A155&gt;AB$191, 0, IF($A155=AB$191, AC155*SUM(AB155:AB$181)*AB$194/AB$195, SUM(AB155:AB$181)*AC155))</f>
        <v>0</v>
      </c>
      <c r="AE155" s="87"/>
      <c r="AF155" s="87">
        <f t="shared" si="330"/>
        <v>0</v>
      </c>
      <c r="AG155" s="77">
        <f t="shared" si="331"/>
        <v>3.5000000000000003E-2</v>
      </c>
      <c r="AH155" s="87">
        <f>IF($A155&gt;AF$191, 0, IF($A155=AF$191, AG155*SUM(AF155:AF$181)*AF$194/AF$195, SUM(AF155:AF$181)*AG155))</f>
        <v>350000.00000000006</v>
      </c>
      <c r="AI155" s="35"/>
      <c r="AJ155" s="87"/>
      <c r="AK155" s="77"/>
      <c r="AL155" s="87"/>
      <c r="AM155" s="35"/>
      <c r="AN155" s="87">
        <f t="shared" si="332"/>
        <v>0</v>
      </c>
      <c r="AO155" s="77" t="str">
        <f t="shared" si="333"/>
        <v xml:space="preserve">   </v>
      </c>
      <c r="AP155" s="87">
        <f>IF($A155&gt;AN$191, 0, IF($A155=AN$191, AO155*SUM(AN155:AN$181)*AN$194/AN$195, SUM(AN155:AN$181)*AO155))</f>
        <v>0</v>
      </c>
      <c r="AQ155" s="87"/>
      <c r="AR155" s="87">
        <f t="shared" si="334"/>
        <v>0</v>
      </c>
      <c r="AS155" s="77">
        <f t="shared" si="335"/>
        <v>3.8460000000000001E-2</v>
      </c>
      <c r="AT155" s="87">
        <f>IF($A155&gt;AR$191, 0, IF($A155=AR$191, AS155*SUM(AR155:AR$181)*AR$194/AR$195, SUM(AR155:AR$181)*AS155))</f>
        <v>1923000</v>
      </c>
      <c r="AV155" s="35">
        <f t="shared" si="336"/>
        <v>0</v>
      </c>
      <c r="AW155" s="35">
        <f t="shared" si="337"/>
        <v>2273000</v>
      </c>
      <c r="AX155" s="87"/>
      <c r="AY155" s="87">
        <f t="shared" si="338"/>
        <v>0</v>
      </c>
      <c r="AZ155" s="77" t="str">
        <f t="shared" si="339"/>
        <v xml:space="preserve">   </v>
      </c>
      <c r="BA155" s="87">
        <f>IF($A155&gt;AY$191, 0, IF($A155=AY$191, AZ155*SUM(AY155:AY$181)*AY$194/AY$195, SUM(AY155:AY$181)*AZ155))</f>
        <v>0</v>
      </c>
      <c r="BB155" s="61"/>
      <c r="BC155" s="87">
        <f t="shared" si="340"/>
        <v>0</v>
      </c>
      <c r="BD155" s="77">
        <f t="shared" si="341"/>
        <v>3.5000000000000003E-2</v>
      </c>
      <c r="BE155" s="87">
        <f>IF($A155&gt;BC$191, 0, IF($A155=BC$191, BD155*SUM(BC155:BC$181)*BC$194/BC$195, SUM(BC155:BC$181)*BD155))</f>
        <v>1050000</v>
      </c>
      <c r="BF155" s="61"/>
      <c r="BG155" s="87">
        <f t="shared" si="342"/>
        <v>0</v>
      </c>
      <c r="BH155" s="77">
        <f t="shared" si="343"/>
        <v>3.5000000000000003E-2</v>
      </c>
      <c r="BI155" s="87">
        <f>IF($A155&gt;BG$191, 0, IF($A155=BG$191, BH155*SUM(BG155:BG$181)*BG$194/BG$195, SUM(BG155:BG$181)*BH155))</f>
        <v>2625000.0000000005</v>
      </c>
      <c r="BJ155" s="61"/>
      <c r="BK155" s="35">
        <f t="shared" si="364"/>
        <v>0</v>
      </c>
      <c r="BL155" s="35">
        <f t="shared" si="365"/>
        <v>3675000.0000000005</v>
      </c>
      <c r="BM155" s="86"/>
      <c r="BN155" s="87">
        <f t="shared" si="344"/>
        <v>0</v>
      </c>
      <c r="BO155" s="77" t="str">
        <f t="shared" si="345"/>
        <v xml:space="preserve">   </v>
      </c>
      <c r="BP155" s="87">
        <f>IF($A155&gt;BN$191, 0, IF($A155=BN$191, BO155*SUM(BN155:BN$181)*BN$194/BN$195, SUM(BN155:BN$181)*BO155))</f>
        <v>0</v>
      </c>
      <c r="BQ155" s="77"/>
      <c r="BR155" s="87"/>
      <c r="BS155" s="77"/>
      <c r="BT155" s="87"/>
      <c r="BU155" s="87"/>
      <c r="BV155" s="35">
        <f t="shared" si="366"/>
        <v>0</v>
      </c>
      <c r="BW155" s="35">
        <f t="shared" si="367"/>
        <v>0</v>
      </c>
      <c r="BX155" s="87"/>
      <c r="BY155" s="87">
        <f t="shared" si="346"/>
        <v>0</v>
      </c>
      <c r="BZ155" s="77" t="str">
        <f t="shared" si="347"/>
        <v xml:space="preserve">   </v>
      </c>
      <c r="CA155" s="87">
        <f>IF($A155&gt;BY$191, 0, IF($A155=BY$191, BZ155*SUM(BY155:BY$181)*BY$194/BY$195, SUM(BY155:BY$181)*BZ155))</f>
        <v>0</v>
      </c>
      <c r="CB155" s="87"/>
      <c r="CC155" s="87">
        <f t="shared" si="348"/>
        <v>0</v>
      </c>
      <c r="CD155" s="77" t="str">
        <f t="shared" si="349"/>
        <v xml:space="preserve">   </v>
      </c>
      <c r="CE155" s="87">
        <f>IF($A155&gt;CC$191, 0, IF($A155=CC$191, CD155*SUM(CC155:CC$181)*CC$194/CC$195, SUM(CC155:CC$181)*CD155))</f>
        <v>0</v>
      </c>
      <c r="CF155" s="87"/>
      <c r="CG155" s="87"/>
      <c r="CH155" s="77"/>
      <c r="CI155" s="87"/>
      <c r="CJ155" s="87"/>
      <c r="CK155" s="87">
        <f t="shared" si="350"/>
        <v>0</v>
      </c>
      <c r="CL155" s="77">
        <f t="shared" si="351"/>
        <v>3.5000000000000003E-2</v>
      </c>
      <c r="CM155" s="87">
        <f>IF($A155&gt;CK$191, 0, IF($A155=CK$191, CL155*SUM(CK155:CK$181)*CK$194/CK$195, SUM(CK155:CK$181)*CL155))</f>
        <v>2625000.0000000005</v>
      </c>
      <c r="CN155" s="87"/>
      <c r="CO155" s="162">
        <f t="shared" si="352"/>
        <v>0</v>
      </c>
      <c r="CP155" s="87">
        <f t="shared" si="353"/>
        <v>2625000.0000000005</v>
      </c>
      <c r="CQ155" s="6"/>
      <c r="CR155" s="87">
        <f t="shared" si="354"/>
        <v>0</v>
      </c>
      <c r="CS155" s="77" t="str">
        <f t="shared" si="355"/>
        <v xml:space="preserve">   </v>
      </c>
      <c r="CT155" s="87">
        <f>IF($A155&gt;CR$191, 0, IF($A155=CR$191, CS155*SUM(CR155:CR$181)*CR$194/CR$195, SUM(CR155:CR$181)*CS155))</f>
        <v>0</v>
      </c>
      <c r="CZ155" s="165">
        <f t="shared" si="356"/>
        <v>0</v>
      </c>
      <c r="DA155" s="165">
        <f t="shared" si="357"/>
        <v>0</v>
      </c>
      <c r="DB155" s="87"/>
      <c r="DC155" s="87">
        <f t="shared" si="358"/>
        <v>41030000</v>
      </c>
      <c r="DD155" s="77">
        <f t="shared" si="359"/>
        <v>3.5000000000000003E-2</v>
      </c>
      <c r="DE155" s="87">
        <f>IF($A155&gt;DC$191, 0, IF($A155=DC$191, DD155*SUM(DC155:DC$181)*DC$194/DC$195, SUM(DC155:DC$181)*DD155))</f>
        <v>3186050.0000000005</v>
      </c>
      <c r="DF155" s="87"/>
      <c r="DG155" s="87"/>
      <c r="DH155" s="87"/>
      <c r="DI155" s="87"/>
      <c r="DJ155" s="87"/>
      <c r="DK155" s="87"/>
      <c r="DL155" s="87"/>
      <c r="DM155" s="87"/>
      <c r="DN155" s="87"/>
      <c r="DO155" s="87"/>
      <c r="DP155" s="87"/>
      <c r="DQ155" s="87"/>
      <c r="DR155" s="87"/>
      <c r="DS155" s="87"/>
      <c r="DT155" s="87"/>
      <c r="DU155" s="87"/>
      <c r="DW155" s="165">
        <f t="shared" si="368"/>
        <v>41030000</v>
      </c>
      <c r="DX155" s="165">
        <f t="shared" si="369"/>
        <v>11759050</v>
      </c>
      <c r="DY155" s="87"/>
      <c r="DZ155" s="53">
        <f t="shared" si="360"/>
        <v>2034</v>
      </c>
      <c r="EA155" s="35">
        <f t="shared" si="361"/>
        <v>41030000</v>
      </c>
      <c r="EB155" s="35">
        <f t="shared" si="362"/>
        <v>11759050</v>
      </c>
      <c r="ED155" s="181">
        <f t="shared" si="370"/>
        <v>11</v>
      </c>
    </row>
    <row r="156" spans="1:134" s="33" customFormat="1" outlineLevel="1">
      <c r="A156" s="7">
        <f t="shared" si="363"/>
        <v>2035</v>
      </c>
      <c r="B156" s="151">
        <f>Assumptions!B19</f>
        <v>5.3800000000000001E-2</v>
      </c>
      <c r="C156" s="151">
        <f>Assumptions!C19</f>
        <v>5.3800000000000001E-2</v>
      </c>
      <c r="D156" s="151">
        <f>Assumptions!D19</f>
        <v>3.5000000000000003E-2</v>
      </c>
      <c r="E156" s="151">
        <f>Assumptions!E19</f>
        <v>5.2999999999999999E-2</v>
      </c>
      <c r="F156" s="8"/>
      <c r="G156" s="8"/>
      <c r="H156" s="8"/>
      <c r="I156" s="8"/>
      <c r="J156" s="8"/>
      <c r="K156" s="8"/>
      <c r="L156" s="86"/>
      <c r="M156" s="87">
        <f t="shared" si="320"/>
        <v>0</v>
      </c>
      <c r="N156" s="77" t="str">
        <f t="shared" si="321"/>
        <v xml:space="preserve">   </v>
      </c>
      <c r="O156" s="87">
        <f>IF($A156&gt;M$191, 0, IF($A156=M$191, N156*SUM(M156:M$181)*M$194/M$195, SUM(M156:M$181)*N156))</f>
        <v>0</v>
      </c>
      <c r="P156" s="35"/>
      <c r="Q156" s="87">
        <f t="shared" si="322"/>
        <v>0</v>
      </c>
      <c r="R156" s="77" t="str">
        <f t="shared" si="323"/>
        <v xml:space="preserve">   </v>
      </c>
      <c r="S156" s="87">
        <f>IF($A156&gt;Q$191, 0, IF($A156=Q$191, R156*SUM(Q156:Q$181)*Q$194/Q$195, SUM(Q156:Q$181)*R156))</f>
        <v>0</v>
      </c>
      <c r="T156" s="35"/>
      <c r="U156" s="35">
        <f t="shared" si="324"/>
        <v>0</v>
      </c>
      <c r="V156" s="35">
        <f t="shared" si="325"/>
        <v>0</v>
      </c>
      <c r="W156" s="87"/>
      <c r="X156" s="87">
        <f t="shared" si="326"/>
        <v>0</v>
      </c>
      <c r="Y156" s="77" t="str">
        <f t="shared" si="327"/>
        <v xml:space="preserve">   </v>
      </c>
      <c r="Z156" s="87">
        <f>IF($A156&gt;X$191, 0, IF($A156=X$191, Y156*SUM(X156:X$181)*X$194/X$195, SUM(X156:X$181)*Y156))</f>
        <v>0</v>
      </c>
      <c r="AA156" s="87"/>
      <c r="AB156" s="87">
        <f t="shared" si="328"/>
        <v>0</v>
      </c>
      <c r="AC156" s="77" t="str">
        <f t="shared" si="329"/>
        <v xml:space="preserve">   </v>
      </c>
      <c r="AD156" s="87">
        <f>IF($A156&gt;AB$191, 0, IF($A156=AB$191, AC156*SUM(AB156:AB$181)*AB$194/AB$195, SUM(AB156:AB$181)*AC156))</f>
        <v>0</v>
      </c>
      <c r="AE156" s="87"/>
      <c r="AF156" s="87">
        <f t="shared" si="330"/>
        <v>0</v>
      </c>
      <c r="AG156" s="77">
        <f t="shared" si="331"/>
        <v>3.5000000000000003E-2</v>
      </c>
      <c r="AH156" s="87">
        <f>IF($A156&gt;AF$191, 0, IF($A156=AF$191, AG156*SUM(AF156:AF$181)*AF$194/AF$195, SUM(AF156:AF$181)*AG156))</f>
        <v>350000.00000000006</v>
      </c>
      <c r="AI156" s="35"/>
      <c r="AJ156" s="87"/>
      <c r="AK156" s="77"/>
      <c r="AL156" s="87"/>
      <c r="AM156" s="35"/>
      <c r="AN156" s="87">
        <f t="shared" si="332"/>
        <v>0</v>
      </c>
      <c r="AO156" s="77" t="str">
        <f t="shared" si="333"/>
        <v xml:space="preserve">   </v>
      </c>
      <c r="AP156" s="87">
        <f>IF($A156&gt;AN$191, 0, IF($A156=AN$191, AO156*SUM(AN156:AN$181)*AN$194/AN$195, SUM(AN156:AN$181)*AO156))</f>
        <v>0</v>
      </c>
      <c r="AQ156" s="87"/>
      <c r="AR156" s="87">
        <f t="shared" si="334"/>
        <v>0</v>
      </c>
      <c r="AS156" s="77">
        <f t="shared" si="335"/>
        <v>3.8460000000000001E-2</v>
      </c>
      <c r="AT156" s="87">
        <f>IF($A156&gt;AR$191, 0, IF($A156=AR$191, AS156*SUM(AR156:AR$181)*AR$194/AR$195, SUM(AR156:AR$181)*AS156))</f>
        <v>1923000</v>
      </c>
      <c r="AV156" s="35">
        <f t="shared" si="336"/>
        <v>0</v>
      </c>
      <c r="AW156" s="35">
        <f t="shared" si="337"/>
        <v>2273000</v>
      </c>
      <c r="AX156" s="87"/>
      <c r="AY156" s="87">
        <f t="shared" si="338"/>
        <v>0</v>
      </c>
      <c r="AZ156" s="77" t="str">
        <f t="shared" si="339"/>
        <v xml:space="preserve">   </v>
      </c>
      <c r="BA156" s="87">
        <f>IF($A156&gt;AY$191, 0, IF($A156=AY$191, AZ156*SUM(AY156:AY$181)*AY$194/AY$195, SUM(AY156:AY$181)*AZ156))</f>
        <v>0</v>
      </c>
      <c r="BB156" s="61"/>
      <c r="BC156" s="87">
        <f t="shared" si="340"/>
        <v>0</v>
      </c>
      <c r="BD156" s="77">
        <f t="shared" si="341"/>
        <v>3.5000000000000003E-2</v>
      </c>
      <c r="BE156" s="87">
        <f>IF($A156&gt;BC$191, 0, IF($A156=BC$191, BD156*SUM(BC156:BC$181)*BC$194/BC$195, SUM(BC156:BC$181)*BD156))</f>
        <v>1050000</v>
      </c>
      <c r="BF156" s="61"/>
      <c r="BG156" s="87">
        <f t="shared" si="342"/>
        <v>0</v>
      </c>
      <c r="BH156" s="77">
        <f t="shared" si="343"/>
        <v>3.5000000000000003E-2</v>
      </c>
      <c r="BI156" s="87">
        <f>IF($A156&gt;BG$191, 0, IF($A156=BG$191, BH156*SUM(BG156:BG$181)*BG$194/BG$195, SUM(BG156:BG$181)*BH156))</f>
        <v>2625000.0000000005</v>
      </c>
      <c r="BJ156" s="61"/>
      <c r="BK156" s="35">
        <f t="shared" si="364"/>
        <v>0</v>
      </c>
      <c r="BL156" s="35">
        <f t="shared" si="365"/>
        <v>3675000.0000000005</v>
      </c>
      <c r="BM156" s="86"/>
      <c r="BN156" s="87">
        <f t="shared" si="344"/>
        <v>0</v>
      </c>
      <c r="BO156" s="77" t="str">
        <f t="shared" si="345"/>
        <v xml:space="preserve">   </v>
      </c>
      <c r="BP156" s="87">
        <f>IF($A156&gt;BN$191, 0, IF($A156=BN$191, BO156*SUM(BN156:BN$181)*BN$194/BN$195, SUM(BN156:BN$181)*BO156))</f>
        <v>0</v>
      </c>
      <c r="BQ156" s="77"/>
      <c r="BR156" s="87"/>
      <c r="BS156" s="77"/>
      <c r="BT156" s="87"/>
      <c r="BU156" s="87"/>
      <c r="BV156" s="35">
        <f t="shared" si="366"/>
        <v>0</v>
      </c>
      <c r="BW156" s="35">
        <f t="shared" si="367"/>
        <v>0</v>
      </c>
      <c r="BX156" s="87"/>
      <c r="BY156" s="87">
        <f t="shared" si="346"/>
        <v>0</v>
      </c>
      <c r="BZ156" s="77" t="str">
        <f t="shared" si="347"/>
        <v xml:space="preserve">   </v>
      </c>
      <c r="CA156" s="87">
        <f>IF($A156&gt;BY$191, 0, IF($A156=BY$191, BZ156*SUM(BY156:BY$181)*BY$194/BY$195, SUM(BY156:BY$181)*BZ156))</f>
        <v>0</v>
      </c>
      <c r="CB156" s="87"/>
      <c r="CC156" s="87">
        <f t="shared" si="348"/>
        <v>0</v>
      </c>
      <c r="CD156" s="77" t="str">
        <f t="shared" si="349"/>
        <v xml:space="preserve">   </v>
      </c>
      <c r="CE156" s="87">
        <f>IF($A156&gt;CC$191, 0, IF($A156=CC$191, CD156*SUM(CC156:CC$181)*CC$194/CC$195, SUM(CC156:CC$181)*CD156))</f>
        <v>0</v>
      </c>
      <c r="CF156" s="87"/>
      <c r="CG156" s="87"/>
      <c r="CH156" s="77"/>
      <c r="CI156" s="87"/>
      <c r="CJ156" s="87"/>
      <c r="CK156" s="87">
        <f t="shared" si="350"/>
        <v>0</v>
      </c>
      <c r="CL156" s="77">
        <f t="shared" si="351"/>
        <v>3.5000000000000003E-2</v>
      </c>
      <c r="CM156" s="87">
        <f>IF($A156&gt;CK$191, 0, IF($A156=CK$191, CL156*SUM(CK156:CK$181)*CK$194/CK$195, SUM(CK156:CK$181)*CL156))</f>
        <v>2625000.0000000005</v>
      </c>
      <c r="CN156" s="87"/>
      <c r="CO156" s="162">
        <f t="shared" si="352"/>
        <v>0</v>
      </c>
      <c r="CP156" s="87">
        <f t="shared" si="353"/>
        <v>2625000.0000000005</v>
      </c>
      <c r="CQ156" s="6"/>
      <c r="CR156" s="87">
        <f t="shared" si="354"/>
        <v>0</v>
      </c>
      <c r="CS156" s="77" t="str">
        <f t="shared" si="355"/>
        <v xml:space="preserve">   </v>
      </c>
      <c r="CT156" s="87">
        <f>IF($A156&gt;CR$191, 0, IF($A156=CR$191, CS156*SUM(CR156:CR$181)*CR$194/CR$195, SUM(CR156:CR$181)*CS156))</f>
        <v>0</v>
      </c>
      <c r="CZ156" s="165">
        <f t="shared" si="356"/>
        <v>0</v>
      </c>
      <c r="DA156" s="165">
        <f t="shared" si="357"/>
        <v>0</v>
      </c>
      <c r="DB156" s="87"/>
      <c r="DC156" s="87">
        <f t="shared" si="358"/>
        <v>50000000</v>
      </c>
      <c r="DD156" s="77">
        <f t="shared" si="359"/>
        <v>3.5000000000000003E-2</v>
      </c>
      <c r="DE156" s="87">
        <f>IF($A156&gt;DC$191, 0, IF($A156=DC$191, DD156*SUM(DC156:DC$181)*DC$194/DC$195, SUM(DC156:DC$181)*DD156))</f>
        <v>437500.00000000006</v>
      </c>
      <c r="DF156" s="87"/>
      <c r="DG156" s="87"/>
      <c r="DH156" s="87"/>
      <c r="DI156" s="87"/>
      <c r="DJ156" s="87"/>
      <c r="DK156" s="87"/>
      <c r="DL156" s="87"/>
      <c r="DM156" s="87"/>
      <c r="DN156" s="87"/>
      <c r="DO156" s="87"/>
      <c r="DP156" s="87"/>
      <c r="DQ156" s="87"/>
      <c r="DR156" s="87"/>
      <c r="DS156" s="87"/>
      <c r="DT156" s="87"/>
      <c r="DU156" s="87"/>
      <c r="DW156" s="165">
        <f t="shared" si="368"/>
        <v>50000000</v>
      </c>
      <c r="DX156" s="165">
        <f t="shared" si="369"/>
        <v>9010500</v>
      </c>
      <c r="DY156" s="87"/>
      <c r="DZ156" s="53">
        <f t="shared" si="360"/>
        <v>2035</v>
      </c>
      <c r="EA156" s="35">
        <f t="shared" si="361"/>
        <v>50000000</v>
      </c>
      <c r="EB156" s="35">
        <f t="shared" si="362"/>
        <v>9010500</v>
      </c>
      <c r="ED156" s="181">
        <f t="shared" si="370"/>
        <v>12</v>
      </c>
    </row>
    <row r="157" spans="1:134" s="33" customFormat="1" outlineLevel="1">
      <c r="A157" s="7">
        <f t="shared" si="363"/>
        <v>2036</v>
      </c>
      <c r="B157" s="151">
        <f>Assumptions!B20</f>
        <v>5.3800000000000001E-2</v>
      </c>
      <c r="C157" s="151">
        <f>Assumptions!C20</f>
        <v>5.3800000000000001E-2</v>
      </c>
      <c r="D157" s="151">
        <f>Assumptions!D20</f>
        <v>3.5000000000000003E-2</v>
      </c>
      <c r="E157" s="151">
        <f>Assumptions!E20</f>
        <v>5.2999999999999999E-2</v>
      </c>
      <c r="F157" s="8"/>
      <c r="G157" s="8"/>
      <c r="H157" s="8"/>
      <c r="I157" s="8"/>
      <c r="J157" s="8"/>
      <c r="K157" s="8"/>
      <c r="L157" s="86"/>
      <c r="M157" s="87">
        <f t="shared" si="320"/>
        <v>0</v>
      </c>
      <c r="N157" s="77" t="str">
        <f t="shared" si="321"/>
        <v xml:space="preserve">   </v>
      </c>
      <c r="O157" s="87">
        <f>IF($A157&gt;M$191, 0, IF($A157=M$191, N157*SUM(M157:M$181)*M$194/M$195, SUM(M157:M$181)*N157))</f>
        <v>0</v>
      </c>
      <c r="P157" s="35"/>
      <c r="Q157" s="87">
        <f t="shared" si="322"/>
        <v>0</v>
      </c>
      <c r="R157" s="77" t="str">
        <f t="shared" si="323"/>
        <v xml:space="preserve">   </v>
      </c>
      <c r="S157" s="87">
        <f>IF($A157&gt;Q$191, 0, IF($A157=Q$191, R157*SUM(Q157:Q$181)*Q$194/Q$195, SUM(Q157:Q$181)*R157))</f>
        <v>0</v>
      </c>
      <c r="T157" s="35"/>
      <c r="U157" s="35">
        <f t="shared" si="324"/>
        <v>0</v>
      </c>
      <c r="V157" s="35">
        <f t="shared" si="325"/>
        <v>0</v>
      </c>
      <c r="W157" s="87"/>
      <c r="X157" s="87">
        <f t="shared" si="326"/>
        <v>0</v>
      </c>
      <c r="Y157" s="77" t="str">
        <f t="shared" si="327"/>
        <v xml:space="preserve">   </v>
      </c>
      <c r="Z157" s="87">
        <f>IF($A157&gt;X$191, 0, IF($A157=X$191, Y157*SUM(X157:X$181)*X$194/X$195, SUM(X157:X$181)*Y157))</f>
        <v>0</v>
      </c>
      <c r="AA157" s="87"/>
      <c r="AB157" s="87">
        <f t="shared" si="328"/>
        <v>0</v>
      </c>
      <c r="AC157" s="77" t="str">
        <f t="shared" si="329"/>
        <v xml:space="preserve">   </v>
      </c>
      <c r="AD157" s="87">
        <f>IF($A157&gt;AB$191, 0, IF($A157=AB$191, AC157*SUM(AB157:AB$181)*AB$194/AB$195, SUM(AB157:AB$181)*AC157))</f>
        <v>0</v>
      </c>
      <c r="AE157" s="87"/>
      <c r="AF157" s="87">
        <f t="shared" si="330"/>
        <v>0</v>
      </c>
      <c r="AG157" s="77">
        <f t="shared" si="331"/>
        <v>3.5000000000000003E-2</v>
      </c>
      <c r="AH157" s="87">
        <f>IF($A157&gt;AF$191, 0, IF($A157=AF$191, AG157*SUM(AF157:AF$181)*AF$194/AF$195, SUM(AF157:AF$181)*AG157))</f>
        <v>350000.00000000006</v>
      </c>
      <c r="AI157" s="35"/>
      <c r="AJ157" s="87"/>
      <c r="AK157" s="77"/>
      <c r="AL157" s="87"/>
      <c r="AM157" s="35"/>
      <c r="AN157" s="87">
        <f t="shared" si="332"/>
        <v>0</v>
      </c>
      <c r="AO157" s="77" t="str">
        <f t="shared" si="333"/>
        <v xml:space="preserve">   </v>
      </c>
      <c r="AP157" s="87">
        <f>IF($A157&gt;AN$191, 0, IF($A157=AN$191, AO157*SUM(AN157:AN$181)*AN$194/AN$195, SUM(AN157:AN$181)*AO157))</f>
        <v>0</v>
      </c>
      <c r="AQ157" s="87"/>
      <c r="AR157" s="87">
        <f t="shared" si="334"/>
        <v>0</v>
      </c>
      <c r="AS157" s="77">
        <f t="shared" si="335"/>
        <v>3.8460000000000001E-2</v>
      </c>
      <c r="AT157" s="87">
        <f>IF($A157&gt;AR$191, 0, IF($A157=AR$191, AS157*SUM(AR157:AR$181)*AR$194/AR$195, SUM(AR157:AR$181)*AS157))</f>
        <v>1923000</v>
      </c>
      <c r="AV157" s="35">
        <f t="shared" si="336"/>
        <v>0</v>
      </c>
      <c r="AW157" s="35">
        <f t="shared" si="337"/>
        <v>2273000</v>
      </c>
      <c r="AX157" s="87"/>
      <c r="AY157" s="87">
        <f t="shared" si="338"/>
        <v>0</v>
      </c>
      <c r="AZ157" s="77" t="str">
        <f t="shared" si="339"/>
        <v xml:space="preserve">   </v>
      </c>
      <c r="BA157" s="87">
        <f>IF($A157&gt;AY$191, 0, IF($A157=AY$191, AZ157*SUM(AY157:AY$181)*AY$194/AY$195, SUM(AY157:AY$181)*AZ157))</f>
        <v>0</v>
      </c>
      <c r="BB157" s="61"/>
      <c r="BC157" s="87">
        <f t="shared" si="340"/>
        <v>0</v>
      </c>
      <c r="BD157" s="77">
        <f t="shared" si="341"/>
        <v>3.5000000000000003E-2</v>
      </c>
      <c r="BE157" s="87">
        <f>IF($A157&gt;BC$191, 0, IF($A157=BC$191, BD157*SUM(BC157:BC$181)*BC$194/BC$195, SUM(BC157:BC$181)*BD157))</f>
        <v>1050000</v>
      </c>
      <c r="BF157" s="61"/>
      <c r="BG157" s="87">
        <f t="shared" si="342"/>
        <v>0</v>
      </c>
      <c r="BH157" s="77">
        <f t="shared" si="343"/>
        <v>3.5000000000000003E-2</v>
      </c>
      <c r="BI157" s="87">
        <f>IF($A157&gt;BG$191, 0, IF($A157=BG$191, BH157*SUM(BG157:BG$181)*BG$194/BG$195, SUM(BG157:BG$181)*BH157))</f>
        <v>2625000.0000000005</v>
      </c>
      <c r="BJ157" s="61"/>
      <c r="BK157" s="35">
        <f t="shared" si="364"/>
        <v>0</v>
      </c>
      <c r="BL157" s="35">
        <f t="shared" si="365"/>
        <v>3675000.0000000005</v>
      </c>
      <c r="BM157" s="86"/>
      <c r="BN157" s="87">
        <f t="shared" si="344"/>
        <v>0</v>
      </c>
      <c r="BO157" s="77" t="str">
        <f t="shared" si="345"/>
        <v xml:space="preserve">   </v>
      </c>
      <c r="BP157" s="87">
        <f>IF($A157&gt;BN$191, 0, IF($A157=BN$191, BO157*SUM(BN157:BN$181)*BN$194/BN$195, SUM(BN157:BN$181)*BO157))</f>
        <v>0</v>
      </c>
      <c r="BQ157" s="77"/>
      <c r="BR157" s="87"/>
      <c r="BS157" s="77"/>
      <c r="BT157" s="87"/>
      <c r="BU157" s="87"/>
      <c r="BV157" s="35">
        <f t="shared" si="366"/>
        <v>0</v>
      </c>
      <c r="BW157" s="35">
        <f t="shared" si="367"/>
        <v>0</v>
      </c>
      <c r="BX157" s="87"/>
      <c r="BY157" s="87">
        <f t="shared" si="346"/>
        <v>0</v>
      </c>
      <c r="BZ157" s="77" t="str">
        <f t="shared" si="347"/>
        <v xml:space="preserve">   </v>
      </c>
      <c r="CA157" s="87">
        <f>IF($A157&gt;BY$191, 0, IF($A157=BY$191, BZ157*SUM(BY157:BY$181)*BY$194/BY$195, SUM(BY157:BY$181)*BZ157))</f>
        <v>0</v>
      </c>
      <c r="CB157" s="87"/>
      <c r="CC157" s="87">
        <f t="shared" si="348"/>
        <v>0</v>
      </c>
      <c r="CD157" s="77" t="str">
        <f t="shared" si="349"/>
        <v xml:space="preserve">   </v>
      </c>
      <c r="CE157" s="87">
        <f>IF($A157&gt;CC$191, 0, IF($A157=CC$191, CD157*SUM(CC157:CC$181)*CC$194/CC$195, SUM(CC157:CC$181)*CD157))</f>
        <v>0</v>
      </c>
      <c r="CF157" s="87"/>
      <c r="CG157" s="87"/>
      <c r="CH157" s="77"/>
      <c r="CI157" s="87"/>
      <c r="CJ157" s="87"/>
      <c r="CK157" s="87">
        <f t="shared" si="350"/>
        <v>0</v>
      </c>
      <c r="CL157" s="77">
        <f t="shared" si="351"/>
        <v>3.5000000000000003E-2</v>
      </c>
      <c r="CM157" s="87">
        <f>IF($A157&gt;CK$191, 0, IF($A157=CK$191, CL157*SUM(CK157:CK$181)*CK$194/CK$195, SUM(CK157:CK$181)*CL157))</f>
        <v>2625000.0000000005</v>
      </c>
      <c r="CN157" s="87"/>
      <c r="CO157" s="162">
        <f t="shared" si="352"/>
        <v>0</v>
      </c>
      <c r="CP157" s="87">
        <f t="shared" si="353"/>
        <v>2625000.0000000005</v>
      </c>
      <c r="CQ157" s="6"/>
      <c r="CR157" s="87">
        <f t="shared" si="354"/>
        <v>0</v>
      </c>
      <c r="CS157" s="77" t="str">
        <f t="shared" si="355"/>
        <v xml:space="preserve">   </v>
      </c>
      <c r="CT157" s="87">
        <f>IF($A157&gt;CR$191, 0, IF($A157=CR$191, CS157*SUM(CR157:CR$181)*CR$194/CR$195, SUM(CR157:CR$181)*CS157))</f>
        <v>0</v>
      </c>
      <c r="CZ157" s="165">
        <f t="shared" si="356"/>
        <v>0</v>
      </c>
      <c r="DA157" s="165">
        <f t="shared" si="357"/>
        <v>0</v>
      </c>
      <c r="DB157" s="87"/>
      <c r="DC157" s="87">
        <f t="shared" si="358"/>
        <v>0</v>
      </c>
      <c r="DD157" s="77" t="str">
        <f t="shared" si="359"/>
        <v xml:space="preserve">   </v>
      </c>
      <c r="DE157" s="87">
        <f>IF($A157&gt;DC$191, 0, IF($A157=DC$191, DD157*SUM(DC157:DC$181)*DC$194/DC$195, SUM(DC157:DC$181)*DD157))</f>
        <v>0</v>
      </c>
      <c r="DF157" s="87"/>
      <c r="DG157" s="87"/>
      <c r="DH157" s="87"/>
      <c r="DI157" s="87"/>
      <c r="DJ157" s="87"/>
      <c r="DK157" s="87"/>
      <c r="DL157" s="87"/>
      <c r="DM157" s="87"/>
      <c r="DN157" s="87"/>
      <c r="DO157" s="87"/>
      <c r="DP157" s="87"/>
      <c r="DQ157" s="87"/>
      <c r="DR157" s="87"/>
      <c r="DS157" s="87"/>
      <c r="DT157" s="87"/>
      <c r="DU157" s="87"/>
      <c r="DW157" s="165">
        <f t="shared" si="368"/>
        <v>0</v>
      </c>
      <c r="DX157" s="165">
        <f t="shared" si="369"/>
        <v>8573000</v>
      </c>
      <c r="DY157" s="87"/>
      <c r="DZ157" s="53">
        <f t="shared" si="360"/>
        <v>2036</v>
      </c>
      <c r="EA157" s="35">
        <f t="shared" si="361"/>
        <v>0</v>
      </c>
      <c r="EB157" s="35">
        <f t="shared" si="362"/>
        <v>8573000</v>
      </c>
      <c r="ED157" s="181">
        <f t="shared" si="370"/>
        <v>13</v>
      </c>
    </row>
    <row r="158" spans="1:134" s="33" customFormat="1" outlineLevel="1">
      <c r="A158" s="7">
        <f t="shared" si="363"/>
        <v>2037</v>
      </c>
      <c r="B158" s="151">
        <f>Assumptions!B21</f>
        <v>5.3800000000000001E-2</v>
      </c>
      <c r="C158" s="151">
        <f>Assumptions!C21</f>
        <v>5.3800000000000001E-2</v>
      </c>
      <c r="D158" s="151">
        <f>Assumptions!D21</f>
        <v>3.5000000000000003E-2</v>
      </c>
      <c r="E158" s="151">
        <f>Assumptions!E21</f>
        <v>5.2999999999999999E-2</v>
      </c>
      <c r="F158" s="8"/>
      <c r="G158" s="8"/>
      <c r="H158" s="8"/>
      <c r="I158" s="8"/>
      <c r="J158" s="8"/>
      <c r="K158" s="8"/>
      <c r="L158" s="86"/>
      <c r="M158" s="87">
        <f t="shared" si="320"/>
        <v>0</v>
      </c>
      <c r="N158" s="77" t="str">
        <f t="shared" si="321"/>
        <v xml:space="preserve">   </v>
      </c>
      <c r="O158" s="87">
        <f>IF($A158&gt;M$191, 0, IF($A158=M$191, N158*SUM(M158:M$181)*M$194/M$195, SUM(M158:M$181)*N158))</f>
        <v>0</v>
      </c>
      <c r="P158" s="35"/>
      <c r="Q158" s="87">
        <f t="shared" si="322"/>
        <v>0</v>
      </c>
      <c r="R158" s="77" t="str">
        <f t="shared" si="323"/>
        <v xml:space="preserve">   </v>
      </c>
      <c r="S158" s="87">
        <f>IF($A158&gt;Q$191, 0, IF($A158=Q$191, R158*SUM(Q158:Q$181)*Q$194/Q$195, SUM(Q158:Q$181)*R158))</f>
        <v>0</v>
      </c>
      <c r="T158" s="35"/>
      <c r="U158" s="35">
        <f t="shared" si="324"/>
        <v>0</v>
      </c>
      <c r="V158" s="35">
        <f t="shared" si="325"/>
        <v>0</v>
      </c>
      <c r="W158" s="87"/>
      <c r="X158" s="87">
        <f t="shared" si="326"/>
        <v>0</v>
      </c>
      <c r="Y158" s="77" t="str">
        <f t="shared" si="327"/>
        <v xml:space="preserve">   </v>
      </c>
      <c r="Z158" s="87">
        <f>IF($A158&gt;X$191, 0, IF($A158=X$191, Y158*SUM(X158:X$181)*X$194/X$195, SUM(X158:X$181)*Y158))</f>
        <v>0</v>
      </c>
      <c r="AA158" s="87"/>
      <c r="AB158" s="87">
        <f t="shared" si="328"/>
        <v>0</v>
      </c>
      <c r="AC158" s="77" t="str">
        <f t="shared" si="329"/>
        <v xml:space="preserve">   </v>
      </c>
      <c r="AD158" s="87">
        <f>IF($A158&gt;AB$191, 0, IF($A158=AB$191, AC158*SUM(AB158:AB$181)*AB$194/AB$195, SUM(AB158:AB$181)*AC158))</f>
        <v>0</v>
      </c>
      <c r="AE158" s="87"/>
      <c r="AF158" s="87">
        <f t="shared" si="330"/>
        <v>10000000</v>
      </c>
      <c r="AG158" s="77">
        <f t="shared" si="331"/>
        <v>3.5000000000000003E-2</v>
      </c>
      <c r="AH158" s="87">
        <f>IF($A158&gt;AF$191, 0, IF($A158=AF$191, AG158*SUM(AF158:AF$181)*AF$194/AF$195, SUM(AF158:AF$181)*AG158))</f>
        <v>175000.00000000003</v>
      </c>
      <c r="AI158" s="35"/>
      <c r="AJ158" s="87"/>
      <c r="AK158" s="77"/>
      <c r="AL158" s="87"/>
      <c r="AM158" s="35"/>
      <c r="AN158" s="87">
        <f t="shared" si="332"/>
        <v>0</v>
      </c>
      <c r="AO158" s="77" t="str">
        <f t="shared" si="333"/>
        <v xml:space="preserve">   </v>
      </c>
      <c r="AP158" s="87">
        <f>IF($A158&gt;AN$191, 0, IF($A158=AN$191, AO158*SUM(AN158:AN$181)*AN$194/AN$195, SUM(AN158:AN$181)*AO158))</f>
        <v>0</v>
      </c>
      <c r="AQ158" s="87"/>
      <c r="AR158" s="87">
        <f t="shared" si="334"/>
        <v>50000000</v>
      </c>
      <c r="AS158" s="77">
        <f t="shared" si="335"/>
        <v>3.8460000000000001E-2</v>
      </c>
      <c r="AT158" s="87">
        <f>IF($A158&gt;AR$191, 0, IF($A158=AR$191, AS158*SUM(AR158:AR$181)*AR$194/AR$195, SUM(AR158:AR$181)*AS158))</f>
        <v>961500</v>
      </c>
      <c r="AV158" s="35">
        <f t="shared" si="336"/>
        <v>60000000</v>
      </c>
      <c r="AW158" s="35">
        <f t="shared" si="337"/>
        <v>1136500</v>
      </c>
      <c r="AX158" s="87"/>
      <c r="AY158" s="87">
        <f t="shared" si="338"/>
        <v>0</v>
      </c>
      <c r="AZ158" s="77" t="str">
        <f t="shared" si="339"/>
        <v xml:space="preserve">   </v>
      </c>
      <c r="BA158" s="87">
        <f>IF($A158&gt;AY$191, 0, IF($A158=AY$191, AZ158*SUM(AY158:AY$181)*AY$194/AY$195, SUM(AY158:AY$181)*AZ158))</f>
        <v>0</v>
      </c>
      <c r="BB158" s="61"/>
      <c r="BC158" s="87">
        <f t="shared" si="340"/>
        <v>0</v>
      </c>
      <c r="BD158" s="77">
        <f t="shared" si="341"/>
        <v>3.5000000000000003E-2</v>
      </c>
      <c r="BE158" s="87">
        <f>IF($A158&gt;BC$191, 0, IF($A158=BC$191, BD158*SUM(BC158:BC$181)*BC$194/BC$195, SUM(BC158:BC$181)*BD158))</f>
        <v>1050000</v>
      </c>
      <c r="BF158" s="61"/>
      <c r="BG158" s="87">
        <f t="shared" si="342"/>
        <v>0</v>
      </c>
      <c r="BH158" s="77">
        <f t="shared" si="343"/>
        <v>3.5000000000000003E-2</v>
      </c>
      <c r="BI158" s="87">
        <f>IF($A158&gt;BG$191, 0, IF($A158=BG$191, BH158*SUM(BG158:BG$181)*BG$194/BG$195, SUM(BG158:BG$181)*BH158))</f>
        <v>2625000.0000000005</v>
      </c>
      <c r="BJ158" s="61"/>
      <c r="BK158" s="35">
        <f t="shared" si="364"/>
        <v>0</v>
      </c>
      <c r="BL158" s="35">
        <f t="shared" si="365"/>
        <v>3675000.0000000005</v>
      </c>
      <c r="BM158" s="86"/>
      <c r="BN158" s="87">
        <f t="shared" si="344"/>
        <v>0</v>
      </c>
      <c r="BO158" s="77" t="str">
        <f t="shared" si="345"/>
        <v xml:space="preserve">   </v>
      </c>
      <c r="BP158" s="87">
        <f>IF($A158&gt;BN$191, 0, IF($A158=BN$191, BO158*SUM(BN158:BN$181)*BN$194/BN$195, SUM(BN158:BN$181)*BO158))</f>
        <v>0</v>
      </c>
      <c r="BQ158" s="77"/>
      <c r="BR158" s="87"/>
      <c r="BS158" s="77"/>
      <c r="BT158" s="87"/>
      <c r="BU158" s="87"/>
      <c r="BV158" s="35">
        <f t="shared" si="366"/>
        <v>0</v>
      </c>
      <c r="BW158" s="35">
        <f t="shared" si="367"/>
        <v>0</v>
      </c>
      <c r="BX158" s="87"/>
      <c r="BY158" s="87">
        <f t="shared" si="346"/>
        <v>0</v>
      </c>
      <c r="BZ158" s="77" t="str">
        <f t="shared" si="347"/>
        <v xml:space="preserve">   </v>
      </c>
      <c r="CA158" s="87">
        <f>IF($A158&gt;BY$191, 0, IF($A158=BY$191, BZ158*SUM(BY158:BY$181)*BY$194/BY$195, SUM(BY158:BY$181)*BZ158))</f>
        <v>0</v>
      </c>
      <c r="CB158" s="87"/>
      <c r="CC158" s="87">
        <f t="shared" si="348"/>
        <v>0</v>
      </c>
      <c r="CD158" s="77" t="str">
        <f t="shared" si="349"/>
        <v xml:space="preserve">   </v>
      </c>
      <c r="CE158" s="87">
        <f>IF($A158&gt;CC$191, 0, IF($A158=CC$191, CD158*SUM(CC158:CC$181)*CC$194/CC$195, SUM(CC158:CC$181)*CD158))</f>
        <v>0</v>
      </c>
      <c r="CF158" s="87"/>
      <c r="CG158" s="87"/>
      <c r="CH158" s="77"/>
      <c r="CI158" s="87"/>
      <c r="CJ158" s="87"/>
      <c r="CK158" s="87">
        <f t="shared" si="350"/>
        <v>0</v>
      </c>
      <c r="CL158" s="77">
        <f t="shared" si="351"/>
        <v>3.5000000000000003E-2</v>
      </c>
      <c r="CM158" s="87">
        <f>IF($A158&gt;CK$191, 0, IF($A158=CK$191, CL158*SUM(CK158:CK$181)*CK$194/CK$195, SUM(CK158:CK$181)*CL158))</f>
        <v>2625000.0000000005</v>
      </c>
      <c r="CN158" s="87"/>
      <c r="CO158" s="162">
        <f t="shared" si="352"/>
        <v>0</v>
      </c>
      <c r="CP158" s="87">
        <f t="shared" si="353"/>
        <v>2625000.0000000005</v>
      </c>
      <c r="CQ158" s="6"/>
      <c r="CR158" s="87">
        <f t="shared" si="354"/>
        <v>0</v>
      </c>
      <c r="CS158" s="77" t="str">
        <f t="shared" si="355"/>
        <v xml:space="preserve">   </v>
      </c>
      <c r="CT158" s="87">
        <f>IF($A158&gt;CR$191, 0, IF($A158=CR$191, CS158*SUM(CR158:CR$181)*CR$194/CR$195, SUM(CR158:CR$181)*CS158))</f>
        <v>0</v>
      </c>
      <c r="CZ158" s="165">
        <f t="shared" si="356"/>
        <v>0</v>
      </c>
      <c r="DA158" s="165">
        <f t="shared" si="357"/>
        <v>0</v>
      </c>
      <c r="DB158" s="87"/>
      <c r="DC158" s="87">
        <f t="shared" si="358"/>
        <v>0</v>
      </c>
      <c r="DD158" s="77" t="str">
        <f t="shared" si="359"/>
        <v xml:space="preserve">   </v>
      </c>
      <c r="DE158" s="87">
        <f>IF($A158&gt;DC$191, 0, IF($A158=DC$191, DD158*SUM(DC158:DC$181)*DC$194/DC$195, SUM(DC158:DC$181)*DD158))</f>
        <v>0</v>
      </c>
      <c r="DF158" s="87"/>
      <c r="DG158" s="87"/>
      <c r="DH158" s="87"/>
      <c r="DI158" s="87"/>
      <c r="DJ158" s="87"/>
      <c r="DK158" s="87"/>
      <c r="DL158" s="87"/>
      <c r="DM158" s="87"/>
      <c r="DN158" s="87"/>
      <c r="DO158" s="87"/>
      <c r="DP158" s="87"/>
      <c r="DQ158" s="87"/>
      <c r="DR158" s="87"/>
      <c r="DS158" s="87"/>
      <c r="DT158" s="87"/>
      <c r="DU158" s="87"/>
      <c r="DW158" s="165">
        <f t="shared" si="368"/>
        <v>60000000</v>
      </c>
      <c r="DX158" s="165">
        <f t="shared" si="369"/>
        <v>7436500</v>
      </c>
      <c r="DY158" s="87"/>
      <c r="DZ158" s="53">
        <f t="shared" si="360"/>
        <v>2037</v>
      </c>
      <c r="EA158" s="35">
        <f t="shared" si="361"/>
        <v>60000000</v>
      </c>
      <c r="EB158" s="35">
        <f t="shared" si="362"/>
        <v>7436500</v>
      </c>
      <c r="ED158" s="181">
        <f t="shared" si="370"/>
        <v>14</v>
      </c>
    </row>
    <row r="159" spans="1:134" s="33" customFormat="1" outlineLevel="1">
      <c r="A159" s="7">
        <f t="shared" si="363"/>
        <v>2038</v>
      </c>
      <c r="B159" s="151">
        <f>Assumptions!B22</f>
        <v>5.3800000000000001E-2</v>
      </c>
      <c r="C159" s="151">
        <f>Assumptions!C22</f>
        <v>5.3800000000000001E-2</v>
      </c>
      <c r="D159" s="151">
        <f>Assumptions!D22</f>
        <v>3.5000000000000003E-2</v>
      </c>
      <c r="E159" s="151">
        <f>Assumptions!E22</f>
        <v>5.2999999999999999E-2</v>
      </c>
      <c r="F159" s="8"/>
      <c r="G159" s="8"/>
      <c r="H159" s="8"/>
      <c r="I159" s="8"/>
      <c r="J159" s="8"/>
      <c r="K159" s="8"/>
      <c r="L159" s="8"/>
      <c r="M159" s="87">
        <f t="shared" si="320"/>
        <v>0</v>
      </c>
      <c r="N159" s="77" t="str">
        <f t="shared" si="321"/>
        <v xml:space="preserve">   </v>
      </c>
      <c r="O159" s="87">
        <f>IF($A159&gt;M$191, 0, IF($A159=M$191, N159*SUM(M159:M$181)*M$194/M$195, SUM(M159:M$181)*N159))</f>
        <v>0</v>
      </c>
      <c r="P159" s="35"/>
      <c r="Q159" s="87">
        <f t="shared" si="322"/>
        <v>0</v>
      </c>
      <c r="R159" s="77" t="str">
        <f t="shared" si="323"/>
        <v xml:space="preserve">   </v>
      </c>
      <c r="S159" s="87">
        <f>IF($A159&gt;Q$191, 0, IF($A159=Q$191, R159*SUM(Q159:Q$181)*Q$194/Q$195, SUM(Q159:Q$181)*R159))</f>
        <v>0</v>
      </c>
      <c r="T159" s="35"/>
      <c r="U159" s="35">
        <f t="shared" si="324"/>
        <v>0</v>
      </c>
      <c r="V159" s="35">
        <f t="shared" si="325"/>
        <v>0</v>
      </c>
      <c r="W159" s="35"/>
      <c r="X159" s="87">
        <f t="shared" si="326"/>
        <v>0</v>
      </c>
      <c r="Y159" s="77" t="str">
        <f t="shared" si="327"/>
        <v xml:space="preserve">   </v>
      </c>
      <c r="Z159" s="87">
        <f>IF($A159&gt;X$191, 0, IF($A159=X$191, Y159*SUM(X159:X$181)*X$194/X$195, SUM(X159:X$181)*Y159))</f>
        <v>0</v>
      </c>
      <c r="AA159" s="87"/>
      <c r="AB159" s="87">
        <f t="shared" si="328"/>
        <v>0</v>
      </c>
      <c r="AC159" s="77" t="str">
        <f t="shared" si="329"/>
        <v xml:space="preserve">   </v>
      </c>
      <c r="AD159" s="87">
        <f>IF($A159&gt;AB$191, 0, IF($A159=AB$191, AC159*SUM(AB159:AB$181)*AB$194/AB$195, SUM(AB159:AB$181)*AC159))</f>
        <v>0</v>
      </c>
      <c r="AE159" s="35"/>
      <c r="AF159" s="87">
        <f t="shared" si="330"/>
        <v>0</v>
      </c>
      <c r="AG159" s="77" t="str">
        <f t="shared" si="331"/>
        <v xml:space="preserve">   </v>
      </c>
      <c r="AH159" s="87">
        <f>IF($A159&gt;AF$191, 0, IF($A159=AF$191, AG159*SUM(AF159:AF$181)*AF$194/AF$195, SUM(AF159:AF$181)*AG159))</f>
        <v>0</v>
      </c>
      <c r="AI159" s="35"/>
      <c r="AJ159" s="87"/>
      <c r="AK159" s="77"/>
      <c r="AL159" s="87"/>
      <c r="AM159" s="35"/>
      <c r="AN159" s="87">
        <f t="shared" si="332"/>
        <v>0</v>
      </c>
      <c r="AO159" s="77" t="str">
        <f t="shared" si="333"/>
        <v xml:space="preserve">   </v>
      </c>
      <c r="AP159" s="87">
        <f>IF($A159&gt;AN$191, 0, IF($A159=AN$191, AO159*SUM(AN159:AN$181)*AN$194/AN$195, SUM(AN159:AN$181)*AO159))</f>
        <v>0</v>
      </c>
      <c r="AQ159" s="35"/>
      <c r="AR159" s="87">
        <f t="shared" si="334"/>
        <v>0</v>
      </c>
      <c r="AS159" s="77" t="str">
        <f t="shared" si="335"/>
        <v xml:space="preserve">   </v>
      </c>
      <c r="AT159" s="87">
        <f>IF($A159&gt;AR$191, 0, IF($A159=AR$191, AS159*SUM(AR159:AR$181)*AR$194/AR$195, SUM(AR159:AR$181)*AS159))</f>
        <v>0</v>
      </c>
      <c r="AV159" s="35">
        <f t="shared" si="336"/>
        <v>0</v>
      </c>
      <c r="AW159" s="35">
        <f t="shared" si="337"/>
        <v>0</v>
      </c>
      <c r="AX159" s="35"/>
      <c r="AY159" s="87">
        <f t="shared" si="338"/>
        <v>0</v>
      </c>
      <c r="AZ159" s="77" t="str">
        <f t="shared" si="339"/>
        <v xml:space="preserve">   </v>
      </c>
      <c r="BA159" s="87">
        <f>IF($A159&gt;AY$191, 0, IF($A159=AY$191, AZ159*SUM(AY159:AY$181)*AY$194/AY$195, SUM(AY159:AY$181)*AZ159))</f>
        <v>0</v>
      </c>
      <c r="BB159" s="61"/>
      <c r="BC159" s="87">
        <f t="shared" si="340"/>
        <v>0</v>
      </c>
      <c r="BD159" s="77">
        <f t="shared" si="341"/>
        <v>3.5000000000000003E-2</v>
      </c>
      <c r="BE159" s="87">
        <f>IF($A159&gt;BC$191, 0, IF($A159=BC$191, BD159*SUM(BC159:BC$181)*BC$194/BC$195, SUM(BC159:BC$181)*BD159))</f>
        <v>1050000</v>
      </c>
      <c r="BF159" s="61"/>
      <c r="BG159" s="87">
        <f t="shared" si="342"/>
        <v>0</v>
      </c>
      <c r="BH159" s="77">
        <f t="shared" si="343"/>
        <v>3.5000000000000003E-2</v>
      </c>
      <c r="BI159" s="87">
        <f>IF($A159&gt;BG$191, 0, IF($A159=BG$191, BH159*SUM(BG159:BG$181)*BG$194/BG$195, SUM(BG159:BG$181)*BH159))</f>
        <v>2625000.0000000005</v>
      </c>
      <c r="BJ159" s="61"/>
      <c r="BK159" s="35">
        <f t="shared" si="364"/>
        <v>0</v>
      </c>
      <c r="BL159" s="35">
        <f t="shared" si="365"/>
        <v>3675000.0000000005</v>
      </c>
      <c r="BM159" s="8"/>
      <c r="BN159" s="87">
        <f t="shared" si="344"/>
        <v>0</v>
      </c>
      <c r="BO159" s="77" t="str">
        <f t="shared" si="345"/>
        <v xml:space="preserve">   </v>
      </c>
      <c r="BP159" s="87">
        <f>IF($A159&gt;BN$191, 0, IF($A159=BN$191, BO159*SUM(BN159:BN$181)*BN$194/BN$195, SUM(BN159:BN$181)*BO159))</f>
        <v>0</v>
      </c>
      <c r="BQ159" s="77"/>
      <c r="BR159" s="87"/>
      <c r="BS159" s="77"/>
      <c r="BT159" s="87"/>
      <c r="BU159" s="87"/>
      <c r="BV159" s="35">
        <f t="shared" si="366"/>
        <v>0</v>
      </c>
      <c r="BW159" s="35">
        <f t="shared" si="367"/>
        <v>0</v>
      </c>
      <c r="BX159" s="87"/>
      <c r="BY159" s="87">
        <f t="shared" si="346"/>
        <v>0</v>
      </c>
      <c r="BZ159" s="77" t="str">
        <f t="shared" si="347"/>
        <v xml:space="preserve">   </v>
      </c>
      <c r="CA159" s="87">
        <f>IF($A159&gt;BY$191, 0, IF($A159=BY$191, BZ159*SUM(BY159:BY$181)*BY$194/BY$195, SUM(BY159:BY$181)*BZ159))</f>
        <v>0</v>
      </c>
      <c r="CB159" s="87"/>
      <c r="CC159" s="87">
        <f t="shared" si="348"/>
        <v>0</v>
      </c>
      <c r="CD159" s="77" t="str">
        <f t="shared" si="349"/>
        <v xml:space="preserve">   </v>
      </c>
      <c r="CE159" s="87">
        <f>IF($A159&gt;CC$191, 0, IF($A159=CC$191, CD159*SUM(CC159:CC$181)*CC$194/CC$195, SUM(CC159:CC$181)*CD159))</f>
        <v>0</v>
      </c>
      <c r="CF159" s="87"/>
      <c r="CG159" s="87"/>
      <c r="CH159" s="77"/>
      <c r="CI159" s="87"/>
      <c r="CJ159" s="87"/>
      <c r="CK159" s="87">
        <f t="shared" si="350"/>
        <v>0</v>
      </c>
      <c r="CL159" s="77">
        <f t="shared" si="351"/>
        <v>3.5000000000000003E-2</v>
      </c>
      <c r="CM159" s="87">
        <f>IF($A159&gt;CK$191, 0, IF($A159=CK$191, CL159*SUM(CK159:CK$181)*CK$194/CK$195, SUM(CK159:CK$181)*CL159))</f>
        <v>2625000.0000000005</v>
      </c>
      <c r="CN159" s="87"/>
      <c r="CO159" s="162">
        <f t="shared" si="352"/>
        <v>0</v>
      </c>
      <c r="CP159" s="87">
        <f t="shared" si="353"/>
        <v>2625000.0000000005</v>
      </c>
      <c r="CQ159" s="6"/>
      <c r="CR159" s="87">
        <f t="shared" si="354"/>
        <v>0</v>
      </c>
      <c r="CS159" s="77" t="str">
        <f t="shared" si="355"/>
        <v xml:space="preserve">   </v>
      </c>
      <c r="CT159" s="87">
        <f>IF($A159&gt;CR$191, 0, IF($A159=CR$191, CS159*SUM(CR159:CR$181)*CR$194/CR$195, SUM(CR159:CR$181)*CS159))</f>
        <v>0</v>
      </c>
      <c r="CZ159" s="165">
        <f t="shared" si="356"/>
        <v>0</v>
      </c>
      <c r="DA159" s="165">
        <f t="shared" si="357"/>
        <v>0</v>
      </c>
      <c r="DB159" s="87"/>
      <c r="DC159" s="87">
        <f t="shared" si="358"/>
        <v>0</v>
      </c>
      <c r="DD159" s="77" t="str">
        <f t="shared" si="359"/>
        <v xml:space="preserve">   </v>
      </c>
      <c r="DE159" s="87">
        <f>IF($A159&gt;DC$191, 0, IF($A159=DC$191, DD159*SUM(DC159:DC$181)*DC$194/DC$195, SUM(DC159:DC$181)*DD159))</f>
        <v>0</v>
      </c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Q159" s="87"/>
      <c r="DR159" s="87"/>
      <c r="DS159" s="87"/>
      <c r="DT159" s="87"/>
      <c r="DU159" s="87"/>
      <c r="DW159" s="165">
        <f t="shared" si="368"/>
        <v>0</v>
      </c>
      <c r="DX159" s="165">
        <f t="shared" si="369"/>
        <v>6300000.0000000009</v>
      </c>
      <c r="DY159" s="87"/>
      <c r="DZ159" s="53">
        <f t="shared" si="360"/>
        <v>2038</v>
      </c>
      <c r="EA159" s="35">
        <f t="shared" si="361"/>
        <v>0</v>
      </c>
      <c r="EB159" s="35">
        <f t="shared" si="362"/>
        <v>6300000.0000000009</v>
      </c>
      <c r="ED159" s="181">
        <f t="shared" si="370"/>
        <v>15</v>
      </c>
    </row>
    <row r="160" spans="1:134" s="33" customFormat="1" outlineLevel="1">
      <c r="A160" s="7">
        <f t="shared" si="363"/>
        <v>2039</v>
      </c>
      <c r="B160" s="151">
        <f>Assumptions!B23</f>
        <v>5.3800000000000001E-2</v>
      </c>
      <c r="C160" s="151">
        <f>Assumptions!C23</f>
        <v>5.3800000000000001E-2</v>
      </c>
      <c r="D160" s="151">
        <f>Assumptions!D23</f>
        <v>3.5000000000000003E-2</v>
      </c>
      <c r="E160" s="151">
        <f>Assumptions!E23</f>
        <v>5.2999999999999999E-2</v>
      </c>
      <c r="F160" s="8"/>
      <c r="G160" s="8"/>
      <c r="H160" s="8"/>
      <c r="I160" s="8"/>
      <c r="J160" s="8"/>
      <c r="K160" s="8"/>
      <c r="L160" s="8"/>
      <c r="M160" s="87">
        <f t="shared" si="320"/>
        <v>0</v>
      </c>
      <c r="N160" s="77" t="str">
        <f t="shared" si="321"/>
        <v xml:space="preserve">   </v>
      </c>
      <c r="O160" s="87">
        <f>IF($A160&gt;M$191, 0, IF($A160=M$191, N160*SUM(M160:M$181)*M$194/M$195, SUM(M160:M$181)*N160))</f>
        <v>0</v>
      </c>
      <c r="P160" s="35"/>
      <c r="Q160" s="87">
        <f t="shared" si="322"/>
        <v>0</v>
      </c>
      <c r="R160" s="77" t="str">
        <f t="shared" si="323"/>
        <v xml:space="preserve">   </v>
      </c>
      <c r="S160" s="87">
        <f>IF($A160&gt;Q$191, 0, IF($A160=Q$191, R160*SUM(Q160:Q$181)*Q$194/Q$195, SUM(Q160:Q$181)*R160))</f>
        <v>0</v>
      </c>
      <c r="T160" s="35"/>
      <c r="U160" s="35">
        <f t="shared" si="324"/>
        <v>0</v>
      </c>
      <c r="V160" s="35">
        <f t="shared" si="325"/>
        <v>0</v>
      </c>
      <c r="W160" s="38"/>
      <c r="X160" s="87">
        <f t="shared" si="326"/>
        <v>0</v>
      </c>
      <c r="Y160" s="77" t="str">
        <f t="shared" si="327"/>
        <v xml:space="preserve">   </v>
      </c>
      <c r="Z160" s="87">
        <f>IF($A160&gt;X$191, 0, IF($A160=X$191, Y160*SUM(X160:X$181)*X$194/X$195, SUM(X160:X$181)*Y160))</f>
        <v>0</v>
      </c>
      <c r="AA160" s="87"/>
      <c r="AB160" s="87">
        <f t="shared" si="328"/>
        <v>0</v>
      </c>
      <c r="AC160" s="77" t="str">
        <f t="shared" si="329"/>
        <v xml:space="preserve">   </v>
      </c>
      <c r="AD160" s="87">
        <f>IF($A160&gt;AB$191, 0, IF($A160=AB$191, AC160*SUM(AB160:AB$181)*AB$194/AB$195, SUM(AB160:AB$181)*AC160))</f>
        <v>0</v>
      </c>
      <c r="AE160" s="35"/>
      <c r="AF160" s="87">
        <f t="shared" si="330"/>
        <v>0</v>
      </c>
      <c r="AG160" s="77" t="str">
        <f t="shared" si="331"/>
        <v xml:space="preserve">   </v>
      </c>
      <c r="AH160" s="87">
        <f>IF($A160&gt;AF$191, 0, IF($A160=AF$191, AG160*SUM(AF160:AF$181)*AF$194/AF$195, SUM(AF160:AF$181)*AG160))</f>
        <v>0</v>
      </c>
      <c r="AI160" s="35"/>
      <c r="AJ160" s="87"/>
      <c r="AK160" s="77"/>
      <c r="AL160" s="87"/>
      <c r="AM160" s="35"/>
      <c r="AN160" s="87">
        <f t="shared" si="332"/>
        <v>0</v>
      </c>
      <c r="AO160" s="77" t="str">
        <f t="shared" si="333"/>
        <v xml:space="preserve">   </v>
      </c>
      <c r="AP160" s="87">
        <f>IF($A160&gt;AN$191, 0, IF($A160=AN$191, AO160*SUM(AN160:AN$181)*AN$194/AN$195, SUM(AN160:AN$181)*AO160))</f>
        <v>0</v>
      </c>
      <c r="AQ160" s="35"/>
      <c r="AR160" s="87">
        <f t="shared" si="334"/>
        <v>0</v>
      </c>
      <c r="AS160" s="77" t="str">
        <f t="shared" si="335"/>
        <v xml:space="preserve">   </v>
      </c>
      <c r="AT160" s="87">
        <f>IF($A160&gt;AR$191, 0, IF($A160=AR$191, AS160*SUM(AR160:AR$181)*AR$194/AR$195, SUM(AR160:AR$181)*AS160))</f>
        <v>0</v>
      </c>
      <c r="AV160" s="35">
        <f t="shared" si="336"/>
        <v>0</v>
      </c>
      <c r="AW160" s="35">
        <f t="shared" si="337"/>
        <v>0</v>
      </c>
      <c r="AX160" s="35"/>
      <c r="AY160" s="87">
        <f t="shared" si="338"/>
        <v>0</v>
      </c>
      <c r="AZ160" s="77" t="str">
        <f t="shared" si="339"/>
        <v xml:space="preserve">   </v>
      </c>
      <c r="BA160" s="87">
        <f>IF($A160&gt;AY$191, 0, IF($A160=AY$191, AZ160*SUM(AY160:AY$181)*AY$194/AY$195, SUM(AY160:AY$181)*AZ160))</f>
        <v>0</v>
      </c>
      <c r="BB160" s="61"/>
      <c r="BC160" s="87">
        <f t="shared" si="340"/>
        <v>0</v>
      </c>
      <c r="BD160" s="77">
        <f t="shared" si="341"/>
        <v>3.5000000000000003E-2</v>
      </c>
      <c r="BE160" s="87">
        <f>IF($A160&gt;BC$191, 0, IF($A160=BC$191, BD160*SUM(BC160:BC$181)*BC$194/BC$195, SUM(BC160:BC$181)*BD160))</f>
        <v>1050000</v>
      </c>
      <c r="BF160" s="61"/>
      <c r="BG160" s="87">
        <f t="shared" si="342"/>
        <v>0</v>
      </c>
      <c r="BH160" s="77">
        <f t="shared" si="343"/>
        <v>3.5000000000000003E-2</v>
      </c>
      <c r="BI160" s="87">
        <f>IF($A160&gt;BG$191, 0, IF($A160=BG$191, BH160*SUM(BG160:BG$181)*BG$194/BG$195, SUM(BG160:BG$181)*BH160))</f>
        <v>2625000.0000000005</v>
      </c>
      <c r="BJ160" s="61"/>
      <c r="BK160" s="35">
        <f t="shared" si="364"/>
        <v>0</v>
      </c>
      <c r="BL160" s="35">
        <f t="shared" si="365"/>
        <v>3675000.0000000005</v>
      </c>
      <c r="BM160" s="8"/>
      <c r="BN160" s="87">
        <f t="shared" si="344"/>
        <v>0</v>
      </c>
      <c r="BO160" s="77" t="str">
        <f t="shared" si="345"/>
        <v xml:space="preserve">   </v>
      </c>
      <c r="BP160" s="87">
        <f>IF($A160&gt;BN$191, 0, IF($A160=BN$191, BO160*SUM(BN160:BN$181)*BN$194/BN$195, SUM(BN160:BN$181)*BO160))</f>
        <v>0</v>
      </c>
      <c r="BQ160" s="77"/>
      <c r="BR160" s="87"/>
      <c r="BS160" s="77"/>
      <c r="BT160" s="87"/>
      <c r="BU160" s="87"/>
      <c r="BV160" s="35">
        <f t="shared" si="366"/>
        <v>0</v>
      </c>
      <c r="BW160" s="35">
        <f t="shared" si="367"/>
        <v>0</v>
      </c>
      <c r="BX160" s="87"/>
      <c r="BY160" s="87">
        <f t="shared" si="346"/>
        <v>0</v>
      </c>
      <c r="BZ160" s="77" t="str">
        <f t="shared" si="347"/>
        <v xml:space="preserve">   </v>
      </c>
      <c r="CA160" s="87">
        <f>IF($A160&gt;BY$191, 0, IF($A160=BY$191, BZ160*SUM(BY160:BY$181)*BY$194/BY$195, SUM(BY160:BY$181)*BZ160))</f>
        <v>0</v>
      </c>
      <c r="CB160" s="87"/>
      <c r="CC160" s="87">
        <f t="shared" si="348"/>
        <v>0</v>
      </c>
      <c r="CD160" s="77" t="str">
        <f t="shared" si="349"/>
        <v xml:space="preserve">   </v>
      </c>
      <c r="CE160" s="87">
        <f>IF($A160&gt;CC$191, 0, IF($A160=CC$191, CD160*SUM(CC160:CC$181)*CC$194/CC$195, SUM(CC160:CC$181)*CD160))</f>
        <v>0</v>
      </c>
      <c r="CF160" s="87"/>
      <c r="CG160" s="87"/>
      <c r="CH160" s="77"/>
      <c r="CI160" s="87"/>
      <c r="CJ160" s="87"/>
      <c r="CK160" s="87">
        <f t="shared" si="350"/>
        <v>0</v>
      </c>
      <c r="CL160" s="77">
        <f t="shared" si="351"/>
        <v>3.5000000000000003E-2</v>
      </c>
      <c r="CM160" s="87">
        <f>IF($A160&gt;CK$191, 0, IF($A160=CK$191, CL160*SUM(CK160:CK$181)*CK$194/CK$195, SUM(CK160:CK$181)*CL160))</f>
        <v>2625000.0000000005</v>
      </c>
      <c r="CN160" s="87"/>
      <c r="CO160" s="162">
        <f t="shared" si="352"/>
        <v>0</v>
      </c>
      <c r="CP160" s="87">
        <f t="shared" si="353"/>
        <v>2625000.0000000005</v>
      </c>
      <c r="CQ160" s="6"/>
      <c r="CR160" s="87">
        <f t="shared" si="354"/>
        <v>0</v>
      </c>
      <c r="CS160" s="77" t="str">
        <f t="shared" si="355"/>
        <v xml:space="preserve">   </v>
      </c>
      <c r="CT160" s="87">
        <f>IF($A160&gt;CR$191, 0, IF($A160=CR$191, CS160*SUM(CR160:CR$181)*CR$194/CR$195, SUM(CR160:CR$181)*CS160))</f>
        <v>0</v>
      </c>
      <c r="CZ160" s="165">
        <f t="shared" si="356"/>
        <v>0</v>
      </c>
      <c r="DA160" s="165">
        <f t="shared" si="357"/>
        <v>0</v>
      </c>
      <c r="DB160" s="87"/>
      <c r="DC160" s="87">
        <f t="shared" si="358"/>
        <v>0</v>
      </c>
      <c r="DD160" s="77" t="str">
        <f t="shared" si="359"/>
        <v xml:space="preserve">   </v>
      </c>
      <c r="DE160" s="87">
        <f>IF($A160&gt;DC$191, 0, IF($A160=DC$191, DD160*SUM(DC160:DC$181)*DC$194/DC$195, SUM(DC160:DC$181)*DD160))</f>
        <v>0</v>
      </c>
      <c r="DF160" s="87"/>
      <c r="DG160" s="87"/>
      <c r="DH160" s="87"/>
      <c r="DI160" s="87"/>
      <c r="DJ160" s="87"/>
      <c r="DK160" s="87"/>
      <c r="DL160" s="87"/>
      <c r="DM160" s="87"/>
      <c r="DN160" s="87"/>
      <c r="DO160" s="87"/>
      <c r="DP160" s="87"/>
      <c r="DQ160" s="87"/>
      <c r="DR160" s="87"/>
      <c r="DS160" s="87"/>
      <c r="DT160" s="87"/>
      <c r="DU160" s="87"/>
      <c r="DW160" s="165">
        <f t="shared" si="368"/>
        <v>0</v>
      </c>
      <c r="DX160" s="165">
        <f t="shared" si="369"/>
        <v>6300000.0000000009</v>
      </c>
      <c r="DY160" s="87"/>
      <c r="DZ160" s="53">
        <f t="shared" si="360"/>
        <v>2039</v>
      </c>
      <c r="EA160" s="35">
        <f t="shared" si="361"/>
        <v>0</v>
      </c>
      <c r="EB160" s="35">
        <f t="shared" si="362"/>
        <v>6300000.0000000009</v>
      </c>
      <c r="ED160" s="181">
        <f t="shared" si="370"/>
        <v>16</v>
      </c>
    </row>
    <row r="161" spans="1:134" s="33" customFormat="1" outlineLevel="1">
      <c r="A161" s="7">
        <f t="shared" si="363"/>
        <v>2040</v>
      </c>
      <c r="B161" s="151">
        <f>Assumptions!B24</f>
        <v>5.3800000000000001E-2</v>
      </c>
      <c r="C161" s="151">
        <f>Assumptions!C24</f>
        <v>5.3800000000000001E-2</v>
      </c>
      <c r="D161" s="151">
        <f>Assumptions!D24</f>
        <v>3.5000000000000003E-2</v>
      </c>
      <c r="E161" s="151">
        <f>Assumptions!E24</f>
        <v>5.2999999999999999E-2</v>
      </c>
      <c r="F161" s="8"/>
      <c r="G161" s="8"/>
      <c r="H161" s="8"/>
      <c r="I161" s="8"/>
      <c r="J161" s="8"/>
      <c r="K161" s="8"/>
      <c r="L161" s="8"/>
      <c r="M161" s="87">
        <f t="shared" si="320"/>
        <v>0</v>
      </c>
      <c r="N161" s="77" t="str">
        <f t="shared" si="321"/>
        <v xml:space="preserve">   </v>
      </c>
      <c r="O161" s="87">
        <f>IF($A161&gt;M$191, 0, IF($A161=M$191, N161*SUM(M161:M$181)*M$194/M$195, SUM(M161:M$181)*N161))</f>
        <v>0</v>
      </c>
      <c r="P161" s="35"/>
      <c r="Q161" s="87">
        <f t="shared" si="322"/>
        <v>0</v>
      </c>
      <c r="R161" s="77" t="str">
        <f t="shared" si="323"/>
        <v xml:space="preserve">   </v>
      </c>
      <c r="S161" s="87">
        <f>IF($A161&gt;Q$191, 0, IF($A161=Q$191, R161*SUM(Q161:Q$181)*Q$194/Q$195, SUM(Q161:Q$181)*R161))</f>
        <v>0</v>
      </c>
      <c r="T161" s="35"/>
      <c r="U161" s="35">
        <f t="shared" si="324"/>
        <v>0</v>
      </c>
      <c r="V161" s="35">
        <f t="shared" si="325"/>
        <v>0</v>
      </c>
      <c r="W161" s="35"/>
      <c r="X161" s="87">
        <f t="shared" si="326"/>
        <v>0</v>
      </c>
      <c r="Y161" s="77" t="str">
        <f t="shared" si="327"/>
        <v xml:space="preserve">   </v>
      </c>
      <c r="Z161" s="87">
        <f>IF($A161&gt;X$191, 0, IF($A161=X$191, Y161*SUM(X161:X$181)*X$194/X$195, SUM(X161:X$181)*Y161))</f>
        <v>0</v>
      </c>
      <c r="AA161" s="87"/>
      <c r="AB161" s="87">
        <f t="shared" si="328"/>
        <v>0</v>
      </c>
      <c r="AC161" s="77" t="str">
        <f t="shared" si="329"/>
        <v xml:space="preserve">   </v>
      </c>
      <c r="AD161" s="87">
        <f>IF($A161&gt;AB$191, 0, IF($A161=AB$191, AC161*SUM(AB161:AB$181)*AB$194/AB$195, SUM(AB161:AB$181)*AC161))</f>
        <v>0</v>
      </c>
      <c r="AE161" s="35"/>
      <c r="AF161" s="87">
        <f t="shared" si="330"/>
        <v>0</v>
      </c>
      <c r="AG161" s="77" t="str">
        <f t="shared" si="331"/>
        <v xml:space="preserve">   </v>
      </c>
      <c r="AH161" s="87">
        <f>IF($A161&gt;AF$191, 0, IF($A161=AF$191, AG161*SUM(AF161:AF$181)*AF$194/AF$195, SUM(AF161:AF$181)*AG161))</f>
        <v>0</v>
      </c>
      <c r="AI161" s="35"/>
      <c r="AJ161" s="87"/>
      <c r="AK161" s="77"/>
      <c r="AL161" s="87"/>
      <c r="AM161" s="35"/>
      <c r="AN161" s="87">
        <f t="shared" si="332"/>
        <v>0</v>
      </c>
      <c r="AO161" s="77" t="str">
        <f t="shared" si="333"/>
        <v xml:space="preserve">   </v>
      </c>
      <c r="AP161" s="87">
        <f>IF($A161&gt;AN$191, 0, IF($A161=AN$191, AO161*SUM(AN161:AN$181)*AN$194/AN$195, SUM(AN161:AN$181)*AO161))</f>
        <v>0</v>
      </c>
      <c r="AQ161" s="35"/>
      <c r="AR161" s="87">
        <f t="shared" si="334"/>
        <v>0</v>
      </c>
      <c r="AS161" s="77" t="str">
        <f t="shared" si="335"/>
        <v xml:space="preserve">   </v>
      </c>
      <c r="AT161" s="87">
        <f>IF($A161&gt;AR$191, 0, IF($A161=AR$191, AS161*SUM(AR161:AR$181)*AR$194/AR$195, SUM(AR161:AR$181)*AS161))</f>
        <v>0</v>
      </c>
      <c r="AV161" s="35">
        <f t="shared" si="336"/>
        <v>0</v>
      </c>
      <c r="AW161" s="35">
        <f t="shared" si="337"/>
        <v>0</v>
      </c>
      <c r="AX161" s="35"/>
      <c r="AY161" s="87">
        <f t="shared" si="338"/>
        <v>0</v>
      </c>
      <c r="AZ161" s="77" t="str">
        <f t="shared" si="339"/>
        <v xml:space="preserve">   </v>
      </c>
      <c r="BA161" s="87">
        <f>IF($A161&gt;AY$191, 0, IF($A161=AY$191, AZ161*SUM(AY161:AY$181)*AY$194/AY$195, SUM(AY161:AY$181)*AZ161))</f>
        <v>0</v>
      </c>
      <c r="BB161" s="61"/>
      <c r="BC161" s="87">
        <f t="shared" si="340"/>
        <v>0</v>
      </c>
      <c r="BD161" s="77">
        <f t="shared" si="341"/>
        <v>3.5000000000000003E-2</v>
      </c>
      <c r="BE161" s="87">
        <f>IF($A161&gt;BC$191, 0, IF($A161=BC$191, BD161*SUM(BC161:BC$181)*BC$194/BC$195, SUM(BC161:BC$181)*BD161))</f>
        <v>1050000</v>
      </c>
      <c r="BF161" s="61"/>
      <c r="BG161" s="87">
        <f t="shared" si="342"/>
        <v>0</v>
      </c>
      <c r="BH161" s="77">
        <f t="shared" si="343"/>
        <v>3.5000000000000003E-2</v>
      </c>
      <c r="BI161" s="87">
        <f>IF($A161&gt;BG$191, 0, IF($A161=BG$191, BH161*SUM(BG161:BG$181)*BG$194/BG$195, SUM(BG161:BG$181)*BH161))</f>
        <v>2625000.0000000005</v>
      </c>
      <c r="BJ161" s="61"/>
      <c r="BK161" s="35">
        <f t="shared" si="364"/>
        <v>0</v>
      </c>
      <c r="BL161" s="35">
        <f t="shared" si="365"/>
        <v>3675000.0000000005</v>
      </c>
      <c r="BM161" s="8"/>
      <c r="BN161" s="87">
        <f t="shared" si="344"/>
        <v>0</v>
      </c>
      <c r="BO161" s="77" t="str">
        <f t="shared" si="345"/>
        <v xml:space="preserve">   </v>
      </c>
      <c r="BP161" s="87">
        <f>IF($A161&gt;BN$191, 0, IF($A161=BN$191, BO161*SUM(BN161:BN$181)*BN$194/BN$195, SUM(BN161:BN$181)*BO161))</f>
        <v>0</v>
      </c>
      <c r="BQ161" s="77"/>
      <c r="BR161" s="87"/>
      <c r="BS161" s="77"/>
      <c r="BT161" s="87"/>
      <c r="BU161" s="87"/>
      <c r="BV161" s="35">
        <f t="shared" si="366"/>
        <v>0</v>
      </c>
      <c r="BW161" s="35">
        <f t="shared" si="367"/>
        <v>0</v>
      </c>
      <c r="BX161" s="87"/>
      <c r="BY161" s="87">
        <f t="shared" si="346"/>
        <v>0</v>
      </c>
      <c r="BZ161" s="77" t="str">
        <f t="shared" si="347"/>
        <v xml:space="preserve">   </v>
      </c>
      <c r="CA161" s="87">
        <f>IF($A161&gt;BY$191, 0, IF($A161=BY$191, BZ161*SUM(BY161:BY$181)*BY$194/BY$195, SUM(BY161:BY$181)*BZ161))</f>
        <v>0</v>
      </c>
      <c r="CB161" s="87"/>
      <c r="CC161" s="87">
        <f t="shared" si="348"/>
        <v>0</v>
      </c>
      <c r="CD161" s="77" t="str">
        <f t="shared" si="349"/>
        <v xml:space="preserve">   </v>
      </c>
      <c r="CE161" s="87">
        <f>IF($A161&gt;CC$191, 0, IF($A161=CC$191, CD161*SUM(CC161:CC$181)*CC$194/CC$195, SUM(CC161:CC$181)*CD161))</f>
        <v>0</v>
      </c>
      <c r="CF161" s="87"/>
      <c r="CG161" s="87"/>
      <c r="CH161" s="77"/>
      <c r="CI161" s="87"/>
      <c r="CJ161" s="87"/>
      <c r="CK161" s="87">
        <f t="shared" si="350"/>
        <v>0</v>
      </c>
      <c r="CL161" s="77">
        <f t="shared" si="351"/>
        <v>3.5000000000000003E-2</v>
      </c>
      <c r="CM161" s="87">
        <f>IF($A161&gt;CK$191, 0, IF($A161=CK$191, CL161*SUM(CK161:CK$181)*CK$194/CK$195, SUM(CK161:CK$181)*CL161))</f>
        <v>2625000.0000000005</v>
      </c>
      <c r="CN161" s="87"/>
      <c r="CO161" s="162">
        <f t="shared" si="352"/>
        <v>0</v>
      </c>
      <c r="CP161" s="87">
        <f t="shared" si="353"/>
        <v>2625000.0000000005</v>
      </c>
      <c r="CQ161" s="6"/>
      <c r="CR161" s="87">
        <f t="shared" si="354"/>
        <v>0</v>
      </c>
      <c r="CS161" s="77" t="str">
        <f t="shared" si="355"/>
        <v xml:space="preserve">   </v>
      </c>
      <c r="CT161" s="87">
        <f>IF($A161&gt;CR$191, 0, IF($A161=CR$191, CS161*SUM(CR161:CR$181)*CR$194/CR$195, SUM(CR161:CR$181)*CS161))</f>
        <v>0</v>
      </c>
      <c r="CZ161" s="165">
        <f t="shared" si="356"/>
        <v>0</v>
      </c>
      <c r="DA161" s="165">
        <f t="shared" si="357"/>
        <v>0</v>
      </c>
      <c r="DB161" s="87"/>
      <c r="DC161" s="87">
        <f t="shared" si="358"/>
        <v>0</v>
      </c>
      <c r="DD161" s="77" t="str">
        <f t="shared" si="359"/>
        <v xml:space="preserve">   </v>
      </c>
      <c r="DE161" s="87">
        <f>IF($A161&gt;DC$191, 0, IF($A161=DC$191, DD161*SUM(DC161:DC$181)*DC$194/DC$195, SUM(DC161:DC$181)*DD161))</f>
        <v>0</v>
      </c>
      <c r="DF161" s="87"/>
      <c r="DG161" s="87"/>
      <c r="DH161" s="87"/>
      <c r="DI161" s="87"/>
      <c r="DJ161" s="87"/>
      <c r="DK161" s="87"/>
      <c r="DL161" s="87"/>
      <c r="DM161" s="87"/>
      <c r="DN161" s="87"/>
      <c r="DO161" s="87"/>
      <c r="DP161" s="87"/>
      <c r="DQ161" s="87"/>
      <c r="DR161" s="87"/>
      <c r="DS161" s="87"/>
      <c r="DT161" s="87"/>
      <c r="DU161" s="87"/>
      <c r="DW161" s="165">
        <f t="shared" si="368"/>
        <v>0</v>
      </c>
      <c r="DX161" s="165">
        <f t="shared" si="369"/>
        <v>6300000.0000000009</v>
      </c>
      <c r="DY161" s="87"/>
      <c r="DZ161" s="53">
        <f t="shared" si="360"/>
        <v>2040</v>
      </c>
      <c r="EA161" s="35">
        <f t="shared" si="361"/>
        <v>0</v>
      </c>
      <c r="EB161" s="35">
        <f t="shared" si="362"/>
        <v>6300000.0000000009</v>
      </c>
      <c r="ED161" s="181">
        <f t="shared" si="370"/>
        <v>17</v>
      </c>
    </row>
    <row r="162" spans="1:134" s="33" customFormat="1" outlineLevel="1">
      <c r="A162" s="7">
        <f t="shared" si="363"/>
        <v>2041</v>
      </c>
      <c r="B162" s="151">
        <f>Assumptions!B25</f>
        <v>5.3800000000000001E-2</v>
      </c>
      <c r="C162" s="151">
        <f>Assumptions!C25</f>
        <v>5.3800000000000001E-2</v>
      </c>
      <c r="D162" s="151">
        <f>Assumptions!D25</f>
        <v>3.5000000000000003E-2</v>
      </c>
      <c r="E162" s="151">
        <f>Assumptions!E25</f>
        <v>5.2999999999999999E-2</v>
      </c>
      <c r="F162" s="8"/>
      <c r="G162" s="8"/>
      <c r="H162" s="8"/>
      <c r="I162" s="8"/>
      <c r="J162" s="8"/>
      <c r="K162" s="8"/>
      <c r="L162" s="8"/>
      <c r="M162" s="87">
        <f t="shared" si="320"/>
        <v>0</v>
      </c>
      <c r="N162" s="77" t="str">
        <f t="shared" si="321"/>
        <v xml:space="preserve">   </v>
      </c>
      <c r="O162" s="87">
        <f>IF($A162&gt;M$191, 0, IF($A162=M$191, N162*SUM(M162:M$181)*M$194/M$195, SUM(M162:M$181)*N162))</f>
        <v>0</v>
      </c>
      <c r="P162" s="35"/>
      <c r="Q162" s="87">
        <f t="shared" si="322"/>
        <v>0</v>
      </c>
      <c r="R162" s="77" t="str">
        <f t="shared" si="323"/>
        <v xml:space="preserve">   </v>
      </c>
      <c r="S162" s="87">
        <f>IF($A162&gt;Q$191, 0, IF($A162=Q$191, R162*SUM(Q162:Q$181)*Q$194/Q$195, SUM(Q162:Q$181)*R162))</f>
        <v>0</v>
      </c>
      <c r="T162" s="35"/>
      <c r="U162" s="35">
        <f t="shared" si="324"/>
        <v>0</v>
      </c>
      <c r="V162" s="35">
        <f t="shared" si="325"/>
        <v>0</v>
      </c>
      <c r="W162" s="35"/>
      <c r="X162" s="87">
        <f t="shared" si="326"/>
        <v>0</v>
      </c>
      <c r="Y162" s="77" t="str">
        <f t="shared" si="327"/>
        <v xml:space="preserve">   </v>
      </c>
      <c r="Z162" s="87">
        <f>IF($A162&gt;X$191, 0, IF($A162=X$191, Y162*SUM(X162:X$181)*X$194/X$195, SUM(X162:X$181)*Y162))</f>
        <v>0</v>
      </c>
      <c r="AA162" s="87"/>
      <c r="AB162" s="87">
        <f t="shared" si="328"/>
        <v>0</v>
      </c>
      <c r="AC162" s="77" t="str">
        <f t="shared" si="329"/>
        <v xml:space="preserve">   </v>
      </c>
      <c r="AD162" s="87">
        <f>IF($A162&gt;AB$191, 0, IF($A162=AB$191, AC162*SUM(AB162:AB$181)*AB$194/AB$195, SUM(AB162:AB$181)*AC162))</f>
        <v>0</v>
      </c>
      <c r="AE162" s="35"/>
      <c r="AF162" s="87">
        <f t="shared" si="330"/>
        <v>0</v>
      </c>
      <c r="AG162" s="77" t="str">
        <f t="shared" si="331"/>
        <v xml:space="preserve">   </v>
      </c>
      <c r="AH162" s="87">
        <f>IF($A162&gt;AF$191, 0, IF($A162=AF$191, AG162*SUM(AF162:AF$181)*AF$194/AF$195, SUM(AF162:AF$181)*AG162))</f>
        <v>0</v>
      </c>
      <c r="AI162" s="35"/>
      <c r="AJ162" s="87"/>
      <c r="AK162" s="77"/>
      <c r="AL162" s="87"/>
      <c r="AM162" s="36"/>
      <c r="AN162" s="87">
        <f t="shared" si="332"/>
        <v>0</v>
      </c>
      <c r="AO162" s="77" t="str">
        <f t="shared" si="333"/>
        <v xml:space="preserve">   </v>
      </c>
      <c r="AP162" s="87">
        <f>IF($A162&gt;AN$191, 0, IF($A162=AN$191, AO162*SUM(AN162:AN$181)*AN$194/AN$195, SUM(AN162:AN$181)*AO162))</f>
        <v>0</v>
      </c>
      <c r="AQ162" s="35"/>
      <c r="AR162" s="87">
        <f t="shared" si="334"/>
        <v>0</v>
      </c>
      <c r="AS162" s="77" t="str">
        <f t="shared" si="335"/>
        <v xml:space="preserve">   </v>
      </c>
      <c r="AT162" s="87">
        <f>IF($A162&gt;AR$191, 0, IF($A162=AR$191, AS162*SUM(AR162:AR$181)*AR$194/AR$195, SUM(AR162:AR$181)*AS162))</f>
        <v>0</v>
      </c>
      <c r="AV162" s="35">
        <f t="shared" si="336"/>
        <v>0</v>
      </c>
      <c r="AW162" s="35">
        <f t="shared" si="337"/>
        <v>0</v>
      </c>
      <c r="AX162" s="35"/>
      <c r="AY162" s="87">
        <f t="shared" si="338"/>
        <v>0</v>
      </c>
      <c r="AZ162" s="77" t="str">
        <f t="shared" si="339"/>
        <v xml:space="preserve">   </v>
      </c>
      <c r="BA162" s="87">
        <f>IF($A162&gt;AY$191, 0, IF($A162=AY$191, AZ162*SUM(AY162:AY$181)*AY$194/AY$195, SUM(AY162:AY$181)*AZ162))</f>
        <v>0</v>
      </c>
      <c r="BB162" s="61"/>
      <c r="BC162" s="87">
        <f t="shared" si="340"/>
        <v>0</v>
      </c>
      <c r="BD162" s="77">
        <f t="shared" si="341"/>
        <v>3.5000000000000003E-2</v>
      </c>
      <c r="BE162" s="87">
        <f>IF($A162&gt;BC$191, 0, IF($A162=BC$191, BD162*SUM(BC162:BC$181)*BC$194/BC$195, SUM(BC162:BC$181)*BD162))</f>
        <v>1050000</v>
      </c>
      <c r="BF162" s="61"/>
      <c r="BG162" s="87">
        <f t="shared" si="342"/>
        <v>0</v>
      </c>
      <c r="BH162" s="77">
        <f t="shared" si="343"/>
        <v>3.5000000000000003E-2</v>
      </c>
      <c r="BI162" s="87">
        <f>IF($A162&gt;BG$191, 0, IF($A162=BG$191, BH162*SUM(BG162:BG$181)*BG$194/BG$195, SUM(BG162:BG$181)*BH162))</f>
        <v>2625000.0000000005</v>
      </c>
      <c r="BJ162" s="61"/>
      <c r="BK162" s="35">
        <f t="shared" si="364"/>
        <v>0</v>
      </c>
      <c r="BL162" s="35">
        <f t="shared" si="365"/>
        <v>3675000.0000000005</v>
      </c>
      <c r="BM162" s="8"/>
      <c r="BN162" s="87">
        <f t="shared" si="344"/>
        <v>0</v>
      </c>
      <c r="BO162" s="77" t="str">
        <f t="shared" si="345"/>
        <v xml:space="preserve">   </v>
      </c>
      <c r="BP162" s="87">
        <f>IF($A162&gt;BN$191, 0, IF($A162=BN$191, BO162*SUM(BN162:BN$181)*BN$194/BN$195, SUM(BN162:BN$181)*BO162))</f>
        <v>0</v>
      </c>
      <c r="BQ162" s="77"/>
      <c r="BR162" s="87"/>
      <c r="BS162" s="77"/>
      <c r="BT162" s="87"/>
      <c r="BU162" s="87"/>
      <c r="BV162" s="35">
        <f t="shared" si="366"/>
        <v>0</v>
      </c>
      <c r="BW162" s="35">
        <f t="shared" si="367"/>
        <v>0</v>
      </c>
      <c r="BX162" s="87"/>
      <c r="BY162" s="87">
        <f t="shared" si="346"/>
        <v>0</v>
      </c>
      <c r="BZ162" s="77" t="str">
        <f t="shared" si="347"/>
        <v xml:space="preserve">   </v>
      </c>
      <c r="CA162" s="87">
        <f>IF($A162&gt;BY$191, 0, IF($A162=BY$191, BZ162*SUM(BY162:BY$181)*BY$194/BY$195, SUM(BY162:BY$181)*BZ162))</f>
        <v>0</v>
      </c>
      <c r="CB162" s="87"/>
      <c r="CC162" s="87">
        <f t="shared" si="348"/>
        <v>0</v>
      </c>
      <c r="CD162" s="77" t="str">
        <f t="shared" si="349"/>
        <v xml:space="preserve">   </v>
      </c>
      <c r="CE162" s="87">
        <f>IF($A162&gt;CC$191, 0, IF($A162=CC$191, CD162*SUM(CC162:CC$181)*CC$194/CC$195, SUM(CC162:CC$181)*CD162))</f>
        <v>0</v>
      </c>
      <c r="CF162" s="87"/>
      <c r="CG162" s="87"/>
      <c r="CH162" s="77"/>
      <c r="CI162" s="87"/>
      <c r="CJ162" s="87"/>
      <c r="CK162" s="87">
        <f t="shared" si="350"/>
        <v>0</v>
      </c>
      <c r="CL162" s="77">
        <f t="shared" si="351"/>
        <v>3.5000000000000003E-2</v>
      </c>
      <c r="CM162" s="87">
        <f>IF($A162&gt;CK$191, 0, IF($A162=CK$191, CL162*SUM(CK162:CK$181)*CK$194/CK$195, SUM(CK162:CK$181)*CL162))</f>
        <v>2625000.0000000005</v>
      </c>
      <c r="CN162" s="87"/>
      <c r="CO162" s="162">
        <f t="shared" si="352"/>
        <v>0</v>
      </c>
      <c r="CP162" s="87">
        <f t="shared" si="353"/>
        <v>2625000.0000000005</v>
      </c>
      <c r="CQ162" s="6"/>
      <c r="CR162" s="87">
        <f t="shared" si="354"/>
        <v>0</v>
      </c>
      <c r="CS162" s="77" t="str">
        <f t="shared" si="355"/>
        <v xml:space="preserve">   </v>
      </c>
      <c r="CT162" s="87">
        <f>IF($A162&gt;CR$191, 0, IF($A162=CR$191, CS162*SUM(CR162:CR$181)*CR$194/CR$195, SUM(CR162:CR$181)*CS162))</f>
        <v>0</v>
      </c>
      <c r="CZ162" s="165">
        <f t="shared" si="356"/>
        <v>0</v>
      </c>
      <c r="DA162" s="165">
        <f t="shared" si="357"/>
        <v>0</v>
      </c>
      <c r="DB162" s="87"/>
      <c r="DC162" s="87">
        <f t="shared" si="358"/>
        <v>0</v>
      </c>
      <c r="DD162" s="77" t="str">
        <f t="shared" si="359"/>
        <v xml:space="preserve">   </v>
      </c>
      <c r="DE162" s="87">
        <f>IF($A162&gt;DC$191, 0, IF($A162=DC$191, DD162*SUM(DC162:DC$181)*DC$194/DC$195, SUM(DC162:DC$181)*DD162))</f>
        <v>0</v>
      </c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87"/>
      <c r="DR162" s="87"/>
      <c r="DS162" s="87"/>
      <c r="DT162" s="87"/>
      <c r="DU162" s="87"/>
      <c r="DW162" s="165">
        <f t="shared" si="368"/>
        <v>0</v>
      </c>
      <c r="DX162" s="165">
        <f t="shared" si="369"/>
        <v>6300000.0000000009</v>
      </c>
      <c r="DY162" s="87"/>
      <c r="DZ162" s="53">
        <f t="shared" si="360"/>
        <v>2041</v>
      </c>
      <c r="EA162" s="35">
        <f t="shared" si="361"/>
        <v>0</v>
      </c>
      <c r="EB162" s="35">
        <f t="shared" si="362"/>
        <v>6300000.0000000009</v>
      </c>
      <c r="ED162" s="181">
        <f t="shared" si="370"/>
        <v>18</v>
      </c>
    </row>
    <row r="163" spans="1:134" s="33" customFormat="1" outlineLevel="1">
      <c r="A163" s="7">
        <f t="shared" si="363"/>
        <v>2042</v>
      </c>
      <c r="B163" s="151">
        <f>Assumptions!B26</f>
        <v>5.3800000000000001E-2</v>
      </c>
      <c r="C163" s="151">
        <f>Assumptions!C26</f>
        <v>5.3800000000000001E-2</v>
      </c>
      <c r="D163" s="151">
        <f>Assumptions!D26</f>
        <v>3.5000000000000003E-2</v>
      </c>
      <c r="E163" s="151">
        <f>Assumptions!E26</f>
        <v>5.2999999999999999E-2</v>
      </c>
      <c r="F163" s="8"/>
      <c r="G163" s="8"/>
      <c r="H163" s="8"/>
      <c r="I163" s="8"/>
      <c r="J163" s="8"/>
      <c r="K163" s="8"/>
      <c r="L163" s="8"/>
      <c r="M163" s="87">
        <f t="shared" si="320"/>
        <v>0</v>
      </c>
      <c r="N163" s="77" t="str">
        <f t="shared" si="321"/>
        <v xml:space="preserve">   </v>
      </c>
      <c r="O163" s="87">
        <f>IF($A163&gt;M$191, 0, IF($A163=M$191, N163*SUM(M163:M$181)*M$194/M$195, SUM(M163:M$181)*N163))</f>
        <v>0</v>
      </c>
      <c r="P163" s="35"/>
      <c r="Q163" s="87">
        <f t="shared" si="322"/>
        <v>0</v>
      </c>
      <c r="R163" s="77" t="str">
        <f t="shared" si="323"/>
        <v xml:space="preserve">   </v>
      </c>
      <c r="S163" s="87">
        <f>IF($A163&gt;Q$191, 0, IF($A163=Q$191, R163*SUM(Q163:Q$181)*Q$194/Q$195, SUM(Q163:Q$181)*R163))</f>
        <v>0</v>
      </c>
      <c r="T163" s="35"/>
      <c r="U163" s="35">
        <f t="shared" si="324"/>
        <v>0</v>
      </c>
      <c r="V163" s="35">
        <f t="shared" si="325"/>
        <v>0</v>
      </c>
      <c r="W163" s="35"/>
      <c r="X163" s="87">
        <f t="shared" si="326"/>
        <v>0</v>
      </c>
      <c r="Y163" s="77" t="str">
        <f t="shared" si="327"/>
        <v xml:space="preserve">   </v>
      </c>
      <c r="Z163" s="87">
        <f>IF($A163&gt;X$191, 0, IF($A163=X$191, Y163*SUM(X163:X$181)*X$194/X$195, SUM(X163:X$181)*Y163))</f>
        <v>0</v>
      </c>
      <c r="AA163" s="87"/>
      <c r="AB163" s="87">
        <f t="shared" si="328"/>
        <v>0</v>
      </c>
      <c r="AC163" s="77" t="str">
        <f t="shared" si="329"/>
        <v xml:space="preserve">   </v>
      </c>
      <c r="AD163" s="87">
        <f>IF($A163&gt;AB$191, 0, IF($A163=AB$191, AC163*SUM(AB163:AB$181)*AB$194/AB$195, SUM(AB163:AB$181)*AC163))</f>
        <v>0</v>
      </c>
      <c r="AE163" s="35"/>
      <c r="AF163" s="87">
        <f t="shared" si="330"/>
        <v>0</v>
      </c>
      <c r="AG163" s="77" t="str">
        <f t="shared" si="331"/>
        <v xml:space="preserve">   </v>
      </c>
      <c r="AH163" s="87">
        <f>IF($A163&gt;AF$191, 0, IF($A163=AF$191, AG163*SUM(AF163:AF$181)*AF$194/AF$195, SUM(AF163:AF$181)*AG163))</f>
        <v>0</v>
      </c>
      <c r="AI163" s="35"/>
      <c r="AJ163" s="87"/>
      <c r="AK163" s="77"/>
      <c r="AL163" s="87"/>
      <c r="AM163" s="35"/>
      <c r="AN163" s="87">
        <f t="shared" si="332"/>
        <v>0</v>
      </c>
      <c r="AO163" s="77" t="str">
        <f t="shared" si="333"/>
        <v xml:space="preserve">   </v>
      </c>
      <c r="AP163" s="87">
        <f>IF($A163&gt;AN$191, 0, IF($A163=AN$191, AO163*SUM(AN163:AN$181)*AN$194/AN$195, SUM(AN163:AN$181)*AO163))</f>
        <v>0</v>
      </c>
      <c r="AQ163" s="35"/>
      <c r="AR163" s="87">
        <f t="shared" si="334"/>
        <v>0</v>
      </c>
      <c r="AS163" s="77" t="str">
        <f t="shared" si="335"/>
        <v xml:space="preserve">   </v>
      </c>
      <c r="AT163" s="87">
        <f>IF($A163&gt;AR$191, 0, IF($A163=AR$191, AS163*SUM(AR163:AR$181)*AR$194/AR$195, SUM(AR163:AR$181)*AS163))</f>
        <v>0</v>
      </c>
      <c r="AV163" s="35">
        <f t="shared" si="336"/>
        <v>0</v>
      </c>
      <c r="AW163" s="35">
        <f t="shared" si="337"/>
        <v>0</v>
      </c>
      <c r="AX163" s="35"/>
      <c r="AY163" s="87">
        <f t="shared" si="338"/>
        <v>0</v>
      </c>
      <c r="AZ163" s="77" t="str">
        <f t="shared" si="339"/>
        <v xml:space="preserve">   </v>
      </c>
      <c r="BA163" s="87">
        <f>IF($A163&gt;AY$191, 0, IF($A163=AY$191, AZ163*SUM(AY163:AY$181)*AY$194/AY$195, SUM(AY163:AY$181)*AZ163))</f>
        <v>0</v>
      </c>
      <c r="BB163" s="61"/>
      <c r="BC163" s="87">
        <f t="shared" si="340"/>
        <v>0</v>
      </c>
      <c r="BD163" s="77">
        <f t="shared" si="341"/>
        <v>3.5000000000000003E-2</v>
      </c>
      <c r="BE163" s="87">
        <f>IF($A163&gt;BC$191, 0, IF($A163=BC$191, BD163*SUM(BC163:BC$181)*BC$194/BC$195, SUM(BC163:BC$181)*BD163))</f>
        <v>1050000</v>
      </c>
      <c r="BF163" s="61"/>
      <c r="BG163" s="87">
        <f t="shared" si="342"/>
        <v>0</v>
      </c>
      <c r="BH163" s="77">
        <f t="shared" si="343"/>
        <v>3.5000000000000003E-2</v>
      </c>
      <c r="BI163" s="87">
        <f>IF($A163&gt;BG$191, 0, IF($A163=BG$191, BH163*SUM(BG163:BG$181)*BG$194/BG$195, SUM(BG163:BG$181)*BH163))</f>
        <v>2625000.0000000005</v>
      </c>
      <c r="BJ163" s="61"/>
      <c r="BK163" s="35">
        <f t="shared" si="364"/>
        <v>0</v>
      </c>
      <c r="BL163" s="35">
        <f t="shared" si="365"/>
        <v>3675000.0000000005</v>
      </c>
      <c r="BM163" s="8"/>
      <c r="BN163" s="87">
        <f t="shared" si="344"/>
        <v>0</v>
      </c>
      <c r="BO163" s="77" t="str">
        <f t="shared" si="345"/>
        <v xml:space="preserve">   </v>
      </c>
      <c r="BP163" s="87">
        <f>IF($A163&gt;BN$191, 0, IF($A163=BN$191, BO163*SUM(BN163:BN$181)*BN$194/BN$195, SUM(BN163:BN$181)*BO163))</f>
        <v>0</v>
      </c>
      <c r="BQ163" s="77"/>
      <c r="BR163" s="87"/>
      <c r="BS163" s="77"/>
      <c r="BT163" s="87"/>
      <c r="BU163" s="87"/>
      <c r="BV163" s="35">
        <f t="shared" si="366"/>
        <v>0</v>
      </c>
      <c r="BW163" s="35">
        <f t="shared" si="367"/>
        <v>0</v>
      </c>
      <c r="BX163" s="87"/>
      <c r="BY163" s="87">
        <f t="shared" si="346"/>
        <v>0</v>
      </c>
      <c r="BZ163" s="77" t="str">
        <f t="shared" si="347"/>
        <v xml:space="preserve">   </v>
      </c>
      <c r="CA163" s="87">
        <f>IF($A163&gt;BY$191, 0, IF($A163=BY$191, BZ163*SUM(BY163:BY$181)*BY$194/BY$195, SUM(BY163:BY$181)*BZ163))</f>
        <v>0</v>
      </c>
      <c r="CB163" s="87"/>
      <c r="CC163" s="87">
        <f t="shared" si="348"/>
        <v>0</v>
      </c>
      <c r="CD163" s="77" t="str">
        <f t="shared" si="349"/>
        <v xml:space="preserve">   </v>
      </c>
      <c r="CE163" s="87">
        <f>IF($A163&gt;CC$191, 0, IF($A163=CC$191, CD163*SUM(CC163:CC$181)*CC$194/CC$195, SUM(CC163:CC$181)*CD163))</f>
        <v>0</v>
      </c>
      <c r="CF163" s="87"/>
      <c r="CG163" s="87"/>
      <c r="CH163" s="77"/>
      <c r="CI163" s="87"/>
      <c r="CJ163" s="87"/>
      <c r="CK163" s="87">
        <f t="shared" si="350"/>
        <v>0</v>
      </c>
      <c r="CL163" s="77">
        <f t="shared" si="351"/>
        <v>3.5000000000000003E-2</v>
      </c>
      <c r="CM163" s="87">
        <f>IF($A163&gt;CK$191, 0, IF($A163=CK$191, CL163*SUM(CK163:CK$181)*CK$194/CK$195, SUM(CK163:CK$181)*CL163))</f>
        <v>2625000.0000000005</v>
      </c>
      <c r="CN163" s="87"/>
      <c r="CO163" s="162">
        <f t="shared" si="352"/>
        <v>0</v>
      </c>
      <c r="CP163" s="87">
        <f t="shared" si="353"/>
        <v>2625000.0000000005</v>
      </c>
      <c r="CQ163" s="6"/>
      <c r="CR163" s="87">
        <f t="shared" si="354"/>
        <v>0</v>
      </c>
      <c r="CS163" s="77" t="str">
        <f t="shared" si="355"/>
        <v xml:space="preserve">   </v>
      </c>
      <c r="CT163" s="87">
        <f>IF($A163&gt;CR$191, 0, IF($A163=CR$191, CS163*SUM(CR163:CR$181)*CR$194/CR$195, SUM(CR163:CR$181)*CS163))</f>
        <v>0</v>
      </c>
      <c r="CZ163" s="165">
        <f t="shared" si="356"/>
        <v>0</v>
      </c>
      <c r="DA163" s="165">
        <f t="shared" si="357"/>
        <v>0</v>
      </c>
      <c r="DB163" s="87"/>
      <c r="DC163" s="87">
        <f t="shared" si="358"/>
        <v>0</v>
      </c>
      <c r="DD163" s="77" t="str">
        <f t="shared" si="359"/>
        <v xml:space="preserve">   </v>
      </c>
      <c r="DE163" s="87">
        <f>IF($A163&gt;DC$191, 0, IF($A163=DC$191, DD163*SUM(DC163:DC$181)*DC$194/DC$195, SUM(DC163:DC$181)*DD163))</f>
        <v>0</v>
      </c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W163" s="165">
        <f t="shared" si="368"/>
        <v>0</v>
      </c>
      <c r="DX163" s="165">
        <f t="shared" si="369"/>
        <v>6300000.0000000009</v>
      </c>
      <c r="DY163" s="87"/>
      <c r="DZ163" s="53">
        <f t="shared" si="360"/>
        <v>2042</v>
      </c>
      <c r="EA163" s="35">
        <f t="shared" si="361"/>
        <v>0</v>
      </c>
      <c r="EB163" s="35">
        <f t="shared" si="362"/>
        <v>6300000.0000000009</v>
      </c>
      <c r="ED163" s="181">
        <f t="shared" si="370"/>
        <v>19</v>
      </c>
    </row>
    <row r="164" spans="1:134" s="33" customFormat="1" outlineLevel="1">
      <c r="A164" s="7">
        <f t="shared" si="363"/>
        <v>2043</v>
      </c>
      <c r="B164" s="151">
        <f>Assumptions!B27</f>
        <v>5.3800000000000001E-2</v>
      </c>
      <c r="C164" s="151">
        <f>Assumptions!C27</f>
        <v>5.3800000000000001E-2</v>
      </c>
      <c r="D164" s="151">
        <f>Assumptions!D27</f>
        <v>3.5000000000000003E-2</v>
      </c>
      <c r="E164" s="151">
        <f>Assumptions!E27</f>
        <v>5.2999999999999999E-2</v>
      </c>
      <c r="F164" s="8"/>
      <c r="G164" s="8"/>
      <c r="H164" s="8"/>
      <c r="I164" s="8"/>
      <c r="J164" s="8"/>
      <c r="K164" s="8"/>
      <c r="L164" s="8"/>
      <c r="M164" s="87">
        <f t="shared" si="320"/>
        <v>0</v>
      </c>
      <c r="N164" s="77" t="str">
        <f t="shared" si="321"/>
        <v xml:space="preserve">   </v>
      </c>
      <c r="O164" s="87">
        <f>IF($A164&gt;M$191, 0, IF($A164=M$191, N164*SUM(M164:M$181)*M$194/M$195, SUM(M164:M$181)*N164))</f>
        <v>0</v>
      </c>
      <c r="P164" s="35"/>
      <c r="Q164" s="87">
        <f t="shared" si="322"/>
        <v>0</v>
      </c>
      <c r="R164" s="77" t="str">
        <f t="shared" si="323"/>
        <v xml:space="preserve">   </v>
      </c>
      <c r="S164" s="87">
        <f>IF($A164&gt;Q$191, 0, IF($A164=Q$191, R164*SUM(Q164:Q$181)*Q$194/Q$195, SUM(Q164:Q$181)*R164))</f>
        <v>0</v>
      </c>
      <c r="T164" s="35"/>
      <c r="U164" s="35">
        <f t="shared" si="324"/>
        <v>0</v>
      </c>
      <c r="V164" s="35">
        <f t="shared" si="325"/>
        <v>0</v>
      </c>
      <c r="W164" s="2"/>
      <c r="X164" s="87">
        <f t="shared" si="326"/>
        <v>0</v>
      </c>
      <c r="Y164" s="77" t="str">
        <f t="shared" si="327"/>
        <v xml:space="preserve">   </v>
      </c>
      <c r="Z164" s="87">
        <f>IF($A164&gt;X$191, 0, IF($A164=X$191, Y164*SUM(X164:X$181)*X$194/X$195, SUM(X164:X$181)*Y164))</f>
        <v>0</v>
      </c>
      <c r="AA164" s="87"/>
      <c r="AB164" s="87">
        <f t="shared" si="328"/>
        <v>0</v>
      </c>
      <c r="AC164" s="77" t="str">
        <f t="shared" si="329"/>
        <v xml:space="preserve">   </v>
      </c>
      <c r="AD164" s="87">
        <f>IF($A164&gt;AB$191, 0, IF($A164=AB$191, AC164*SUM(AB164:AB$181)*AB$194/AB$195, SUM(AB164:AB$181)*AC164))</f>
        <v>0</v>
      </c>
      <c r="AE164" s="35"/>
      <c r="AF164" s="87">
        <f t="shared" si="330"/>
        <v>0</v>
      </c>
      <c r="AG164" s="77" t="str">
        <f t="shared" si="331"/>
        <v xml:space="preserve">   </v>
      </c>
      <c r="AH164" s="87">
        <f>IF($A164&gt;AF$191, 0, IF($A164=AF$191, AG164*SUM(AF164:AF$181)*AF$194/AF$195, SUM(AF164:AF$181)*AG164))</f>
        <v>0</v>
      </c>
      <c r="AI164" s="35"/>
      <c r="AJ164" s="87"/>
      <c r="AK164" s="77"/>
      <c r="AL164" s="87"/>
      <c r="AM164" s="35"/>
      <c r="AN164" s="87">
        <f t="shared" si="332"/>
        <v>0</v>
      </c>
      <c r="AO164" s="77" t="str">
        <f t="shared" si="333"/>
        <v xml:space="preserve">   </v>
      </c>
      <c r="AP164" s="87">
        <f>IF($A164&gt;AN$191, 0, IF($A164=AN$191, AO164*SUM(AN164:AN$181)*AN$194/AN$195, SUM(AN164:AN$181)*AO164))</f>
        <v>0</v>
      </c>
      <c r="AQ164" s="35"/>
      <c r="AR164" s="87">
        <f t="shared" si="334"/>
        <v>0</v>
      </c>
      <c r="AS164" s="77" t="str">
        <f t="shared" si="335"/>
        <v xml:space="preserve">   </v>
      </c>
      <c r="AT164" s="87">
        <f>IF($A164&gt;AR$191, 0, IF($A164=AR$191, AS164*SUM(AR164:AR$181)*AR$194/AR$195, SUM(AR164:AR$181)*AS164))</f>
        <v>0</v>
      </c>
      <c r="AV164" s="35">
        <f t="shared" si="336"/>
        <v>0</v>
      </c>
      <c r="AW164" s="35">
        <f t="shared" si="337"/>
        <v>0</v>
      </c>
      <c r="AX164" s="35"/>
      <c r="AY164" s="87">
        <f t="shared" si="338"/>
        <v>0</v>
      </c>
      <c r="AZ164" s="77" t="str">
        <f t="shared" si="339"/>
        <v xml:space="preserve">   </v>
      </c>
      <c r="BA164" s="87">
        <f>IF($A164&gt;AY$191, 0, IF($A164=AY$191, AZ164*SUM(AY164:AY$181)*AY$194/AY$195, SUM(AY164:AY$181)*AZ164))</f>
        <v>0</v>
      </c>
      <c r="BB164" s="61"/>
      <c r="BC164" s="87">
        <f t="shared" si="340"/>
        <v>0</v>
      </c>
      <c r="BD164" s="77">
        <f t="shared" si="341"/>
        <v>3.5000000000000003E-2</v>
      </c>
      <c r="BE164" s="87">
        <f>IF($A164&gt;BC$191, 0, IF($A164=BC$191, BD164*SUM(BC164:BC$181)*BC$194/BC$195, SUM(BC164:BC$181)*BD164))</f>
        <v>1050000</v>
      </c>
      <c r="BF164" s="61"/>
      <c r="BG164" s="87">
        <f t="shared" si="342"/>
        <v>0</v>
      </c>
      <c r="BH164" s="77">
        <f t="shared" si="343"/>
        <v>3.5000000000000003E-2</v>
      </c>
      <c r="BI164" s="87">
        <f>IF($A164&gt;BG$191, 0, IF($A164=BG$191, BH164*SUM(BG164:BG$181)*BG$194/BG$195, SUM(BG164:BG$181)*BH164))</f>
        <v>2625000.0000000005</v>
      </c>
      <c r="BJ164" s="61"/>
      <c r="BK164" s="35">
        <f t="shared" si="364"/>
        <v>0</v>
      </c>
      <c r="BL164" s="35">
        <f t="shared" si="365"/>
        <v>3675000.0000000005</v>
      </c>
      <c r="BM164" s="8"/>
      <c r="BN164" s="87">
        <f t="shared" si="344"/>
        <v>0</v>
      </c>
      <c r="BO164" s="77" t="str">
        <f t="shared" si="345"/>
        <v xml:space="preserve">   </v>
      </c>
      <c r="BP164" s="87">
        <f>IF($A164&gt;BN$191, 0, IF($A164=BN$191, BO164*SUM(BN164:BN$181)*BN$194/BN$195, SUM(BN164:BN$181)*BO164))</f>
        <v>0</v>
      </c>
      <c r="BQ164" s="77"/>
      <c r="BR164" s="87"/>
      <c r="BS164" s="77"/>
      <c r="BT164" s="87"/>
      <c r="BU164" s="87"/>
      <c r="BV164" s="35">
        <f t="shared" si="366"/>
        <v>0</v>
      </c>
      <c r="BW164" s="35">
        <f t="shared" si="367"/>
        <v>0</v>
      </c>
      <c r="BX164" s="87"/>
      <c r="BY164" s="87">
        <f t="shared" si="346"/>
        <v>0</v>
      </c>
      <c r="BZ164" s="77" t="str">
        <f t="shared" si="347"/>
        <v xml:space="preserve">   </v>
      </c>
      <c r="CA164" s="87">
        <f>IF($A164&gt;BY$191, 0, IF($A164=BY$191, BZ164*SUM(BY164:BY$181)*BY$194/BY$195, SUM(BY164:BY$181)*BZ164))</f>
        <v>0</v>
      </c>
      <c r="CB164" s="87"/>
      <c r="CC164" s="87">
        <f t="shared" si="348"/>
        <v>0</v>
      </c>
      <c r="CD164" s="77" t="str">
        <f t="shared" si="349"/>
        <v xml:space="preserve">   </v>
      </c>
      <c r="CE164" s="87">
        <f>IF($A164&gt;CC$191, 0, IF($A164=CC$191, CD164*SUM(CC164:CC$181)*CC$194/CC$195, SUM(CC164:CC$181)*CD164))</f>
        <v>0</v>
      </c>
      <c r="CF164" s="87"/>
      <c r="CG164" s="87"/>
      <c r="CH164" s="77"/>
      <c r="CI164" s="87"/>
      <c r="CJ164" s="87"/>
      <c r="CK164" s="87">
        <f t="shared" si="350"/>
        <v>0</v>
      </c>
      <c r="CL164" s="77">
        <f t="shared" si="351"/>
        <v>3.5000000000000003E-2</v>
      </c>
      <c r="CM164" s="87">
        <f>IF($A164&gt;CK$191, 0, IF($A164=CK$191, CL164*SUM(CK164:CK$181)*CK$194/CK$195, SUM(CK164:CK$181)*CL164))</f>
        <v>2625000.0000000005</v>
      </c>
      <c r="CN164" s="87"/>
      <c r="CO164" s="162">
        <f t="shared" si="352"/>
        <v>0</v>
      </c>
      <c r="CP164" s="87">
        <f t="shared" si="353"/>
        <v>2625000.0000000005</v>
      </c>
      <c r="CQ164" s="6"/>
      <c r="CR164" s="87">
        <f t="shared" si="354"/>
        <v>0</v>
      </c>
      <c r="CS164" s="77" t="str">
        <f t="shared" si="355"/>
        <v xml:space="preserve">   </v>
      </c>
      <c r="CT164" s="87">
        <f>IF($A164&gt;CR$191, 0, IF($A164=CR$191, CS164*SUM(CR164:CR$181)*CR$194/CR$195, SUM(CR164:CR$181)*CS164))</f>
        <v>0</v>
      </c>
      <c r="CZ164" s="165">
        <f t="shared" si="356"/>
        <v>0</v>
      </c>
      <c r="DA164" s="165">
        <f t="shared" si="357"/>
        <v>0</v>
      </c>
      <c r="DB164" s="87"/>
      <c r="DC164" s="87">
        <f t="shared" si="358"/>
        <v>0</v>
      </c>
      <c r="DD164" s="77" t="str">
        <f t="shared" si="359"/>
        <v xml:space="preserve">   </v>
      </c>
      <c r="DE164" s="87">
        <f>IF($A164&gt;DC$191, 0, IF($A164=DC$191, DD164*SUM(DC164:DC$181)*DC$194/DC$195, SUM(DC164:DC$181)*DD164))</f>
        <v>0</v>
      </c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W164" s="165">
        <f t="shared" si="368"/>
        <v>0</v>
      </c>
      <c r="DX164" s="165">
        <f t="shared" si="369"/>
        <v>6300000.0000000009</v>
      </c>
      <c r="DY164" s="87"/>
      <c r="DZ164" s="53">
        <f t="shared" si="360"/>
        <v>2043</v>
      </c>
      <c r="EA164" s="35">
        <f t="shared" si="361"/>
        <v>0</v>
      </c>
      <c r="EB164" s="35">
        <f t="shared" si="362"/>
        <v>6300000.0000000009</v>
      </c>
      <c r="ED164" s="181">
        <f t="shared" si="370"/>
        <v>20</v>
      </c>
    </row>
    <row r="165" spans="1:134" s="33" customFormat="1" outlineLevel="1">
      <c r="A165" s="7">
        <f t="shared" si="363"/>
        <v>2044</v>
      </c>
      <c r="B165" s="151">
        <f>Assumptions!B28</f>
        <v>5.3800000000000001E-2</v>
      </c>
      <c r="C165" s="151">
        <f>Assumptions!C28</f>
        <v>5.3800000000000001E-2</v>
      </c>
      <c r="D165" s="151">
        <f>Assumptions!D28</f>
        <v>3.5000000000000003E-2</v>
      </c>
      <c r="E165" s="151">
        <f>Assumptions!E28</f>
        <v>5.2999999999999999E-2</v>
      </c>
      <c r="F165" s="8"/>
      <c r="G165" s="8"/>
      <c r="H165" s="8"/>
      <c r="I165" s="8"/>
      <c r="J165" s="8"/>
      <c r="K165" s="8"/>
      <c r="L165" s="8"/>
      <c r="M165" s="87">
        <f t="shared" si="320"/>
        <v>0</v>
      </c>
      <c r="N165" s="77" t="str">
        <f t="shared" si="321"/>
        <v xml:space="preserve">   </v>
      </c>
      <c r="O165" s="87">
        <f>IF($A165&gt;M$191, 0, IF($A165=M$191, N165*SUM(M165:M$181)*M$194/M$195, SUM(M165:M$181)*N165))</f>
        <v>0</v>
      </c>
      <c r="P165" s="35"/>
      <c r="Q165" s="87">
        <f t="shared" si="322"/>
        <v>0</v>
      </c>
      <c r="R165" s="77" t="str">
        <f t="shared" si="323"/>
        <v xml:space="preserve">   </v>
      </c>
      <c r="S165" s="87">
        <f>IF($A165&gt;Q$191, 0, IF($A165=Q$191, R165*SUM(Q165:Q$181)*Q$194/Q$195, SUM(Q165:Q$181)*R165))</f>
        <v>0</v>
      </c>
      <c r="T165" s="35"/>
      <c r="U165" s="35">
        <f t="shared" si="324"/>
        <v>0</v>
      </c>
      <c r="V165" s="35">
        <f t="shared" si="325"/>
        <v>0</v>
      </c>
      <c r="W165" s="35"/>
      <c r="X165" s="87">
        <f t="shared" si="326"/>
        <v>0</v>
      </c>
      <c r="Y165" s="77" t="str">
        <f t="shared" si="327"/>
        <v xml:space="preserve">   </v>
      </c>
      <c r="Z165" s="87">
        <f>IF($A165&gt;X$191, 0, IF($A165=X$191, Y165*SUM(X165:X$181)*X$194/X$195, SUM(X165:X$181)*Y165))</f>
        <v>0</v>
      </c>
      <c r="AA165" s="87"/>
      <c r="AB165" s="87">
        <f t="shared" si="328"/>
        <v>0</v>
      </c>
      <c r="AC165" s="77" t="str">
        <f t="shared" si="329"/>
        <v xml:space="preserve">   </v>
      </c>
      <c r="AD165" s="87">
        <f>IF($A165&gt;AB$191, 0, IF($A165=AB$191, AC165*SUM(AB165:AB$181)*AB$194/AB$195, SUM(AB165:AB$181)*AC165))</f>
        <v>0</v>
      </c>
      <c r="AE165" s="35"/>
      <c r="AF165" s="87">
        <f t="shared" si="330"/>
        <v>0</v>
      </c>
      <c r="AG165" s="77" t="str">
        <f t="shared" si="331"/>
        <v xml:space="preserve">   </v>
      </c>
      <c r="AH165" s="87">
        <f>IF($A165&gt;AF$191, 0, IF($A165=AF$191, AG165*SUM(AF165:AF$181)*AF$194/AF$195, SUM(AF165:AF$181)*AG165))</f>
        <v>0</v>
      </c>
      <c r="AI165" s="35"/>
      <c r="AJ165" s="87"/>
      <c r="AK165" s="77"/>
      <c r="AL165" s="87"/>
      <c r="AM165" s="35"/>
      <c r="AN165" s="87">
        <f t="shared" si="332"/>
        <v>0</v>
      </c>
      <c r="AO165" s="77" t="str">
        <f t="shared" si="333"/>
        <v xml:space="preserve">   </v>
      </c>
      <c r="AP165" s="87">
        <f>IF($A165&gt;AN$191, 0, IF($A165=AN$191, AO165*SUM(AN165:AN$181)*AN$194/AN$195, SUM(AN165:AN$181)*AO165))</f>
        <v>0</v>
      </c>
      <c r="AQ165" s="35"/>
      <c r="AR165" s="87">
        <f t="shared" si="334"/>
        <v>0</v>
      </c>
      <c r="AS165" s="77" t="str">
        <f t="shared" si="335"/>
        <v xml:space="preserve">   </v>
      </c>
      <c r="AT165" s="87">
        <f>IF($A165&gt;AR$191, 0, IF($A165=AR$191, AS165*SUM(AR165:AR$181)*AR$194/AR$195, SUM(AR165:AR$181)*AS165))</f>
        <v>0</v>
      </c>
      <c r="AV165" s="35">
        <f t="shared" si="336"/>
        <v>0</v>
      </c>
      <c r="AW165" s="35">
        <f t="shared" si="337"/>
        <v>0</v>
      </c>
      <c r="AX165" s="35"/>
      <c r="AY165" s="87">
        <f t="shared" si="338"/>
        <v>0</v>
      </c>
      <c r="AZ165" s="77" t="str">
        <f t="shared" si="339"/>
        <v xml:space="preserve">   </v>
      </c>
      <c r="BA165" s="87">
        <f>IF($A165&gt;AY$191, 0, IF($A165=AY$191, AZ165*SUM(AY165:AY$181)*AY$194/AY$195, SUM(AY165:AY$181)*AZ165))</f>
        <v>0</v>
      </c>
      <c r="BB165" s="61"/>
      <c r="BC165" s="87">
        <f t="shared" si="340"/>
        <v>0</v>
      </c>
      <c r="BD165" s="77">
        <f t="shared" si="341"/>
        <v>3.5000000000000003E-2</v>
      </c>
      <c r="BE165" s="87">
        <f>IF($A165&gt;BC$191, 0, IF($A165=BC$191, BD165*SUM(BC165:BC$181)*BC$194/BC$195, SUM(BC165:BC$181)*BD165))</f>
        <v>1050000</v>
      </c>
      <c r="BF165" s="61"/>
      <c r="BG165" s="87">
        <f t="shared" si="342"/>
        <v>0</v>
      </c>
      <c r="BH165" s="77">
        <f t="shared" si="343"/>
        <v>3.5000000000000003E-2</v>
      </c>
      <c r="BI165" s="87">
        <f>IF($A165&gt;BG$191, 0, IF($A165=BG$191, BH165*SUM(BG165:BG$181)*BG$194/BG$195, SUM(BG165:BG$181)*BH165))</f>
        <v>2625000.0000000005</v>
      </c>
      <c r="BJ165" s="61"/>
      <c r="BK165" s="35">
        <f t="shared" si="364"/>
        <v>0</v>
      </c>
      <c r="BL165" s="35">
        <f t="shared" si="365"/>
        <v>3675000.0000000005</v>
      </c>
      <c r="BM165" s="8"/>
      <c r="BN165" s="87">
        <f t="shared" si="344"/>
        <v>0</v>
      </c>
      <c r="BO165" s="77" t="str">
        <f t="shared" si="345"/>
        <v xml:space="preserve">   </v>
      </c>
      <c r="BP165" s="87">
        <f>IF($A165&gt;BN$191, 0, IF($A165=BN$191, BO165*SUM(BN165:BN$181)*BN$194/BN$195, SUM(BN165:BN$181)*BO165))</f>
        <v>0</v>
      </c>
      <c r="BQ165" s="77"/>
      <c r="BR165" s="87"/>
      <c r="BS165" s="77"/>
      <c r="BT165" s="87"/>
      <c r="BU165" s="87"/>
      <c r="BV165" s="35">
        <f t="shared" si="366"/>
        <v>0</v>
      </c>
      <c r="BW165" s="35">
        <f t="shared" si="367"/>
        <v>0</v>
      </c>
      <c r="BX165" s="87"/>
      <c r="BY165" s="87">
        <f t="shared" si="346"/>
        <v>0</v>
      </c>
      <c r="BZ165" s="77" t="str">
        <f t="shared" si="347"/>
        <v xml:space="preserve">   </v>
      </c>
      <c r="CA165" s="87">
        <f>IF($A165&gt;BY$191, 0, IF($A165=BY$191, BZ165*SUM(BY165:BY$181)*BY$194/BY$195, SUM(BY165:BY$181)*BZ165))</f>
        <v>0</v>
      </c>
      <c r="CB165" s="87"/>
      <c r="CC165" s="87">
        <f t="shared" si="348"/>
        <v>0</v>
      </c>
      <c r="CD165" s="77" t="str">
        <f t="shared" si="349"/>
        <v xml:space="preserve">   </v>
      </c>
      <c r="CE165" s="87">
        <f>IF($A165&gt;CC$191, 0, IF($A165=CC$191, CD165*SUM(CC165:CC$181)*CC$194/CC$195, SUM(CC165:CC$181)*CD165))</f>
        <v>0</v>
      </c>
      <c r="CF165" s="87"/>
      <c r="CG165" s="87"/>
      <c r="CH165" s="77"/>
      <c r="CI165" s="87"/>
      <c r="CJ165" s="87"/>
      <c r="CK165" s="87">
        <f t="shared" si="350"/>
        <v>0</v>
      </c>
      <c r="CL165" s="77">
        <f t="shared" si="351"/>
        <v>3.5000000000000003E-2</v>
      </c>
      <c r="CM165" s="87">
        <f>IF($A165&gt;CK$191, 0, IF($A165=CK$191, CL165*SUM(CK165:CK$181)*CK$194/CK$195, SUM(CK165:CK$181)*CL165))</f>
        <v>2625000.0000000005</v>
      </c>
      <c r="CN165" s="87"/>
      <c r="CO165" s="162">
        <f t="shared" si="352"/>
        <v>0</v>
      </c>
      <c r="CP165" s="87">
        <f t="shared" si="353"/>
        <v>2625000.0000000005</v>
      </c>
      <c r="CQ165" s="6"/>
      <c r="CR165" s="87">
        <f t="shared" si="354"/>
        <v>0</v>
      </c>
      <c r="CS165" s="77" t="str">
        <f t="shared" si="355"/>
        <v xml:space="preserve">   </v>
      </c>
      <c r="CT165" s="87">
        <f>IF($A165&gt;CR$191, 0, IF($A165=CR$191, CS165*SUM(CR165:CR$181)*CR$194/CR$195, SUM(CR165:CR$181)*CS165))</f>
        <v>0</v>
      </c>
      <c r="CZ165" s="165">
        <f t="shared" si="356"/>
        <v>0</v>
      </c>
      <c r="DA165" s="165">
        <f t="shared" si="357"/>
        <v>0</v>
      </c>
      <c r="DB165" s="87"/>
      <c r="DC165" s="87">
        <f t="shared" si="358"/>
        <v>0</v>
      </c>
      <c r="DD165" s="77" t="str">
        <f t="shared" si="359"/>
        <v xml:space="preserve">   </v>
      </c>
      <c r="DE165" s="87">
        <f>IF($A165&gt;DC$191, 0, IF($A165=DC$191, DD165*SUM(DC165:DC$181)*DC$194/DC$195, SUM(DC165:DC$181)*DD165))</f>
        <v>0</v>
      </c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W165" s="165">
        <f t="shared" si="368"/>
        <v>0</v>
      </c>
      <c r="DX165" s="165">
        <f t="shared" si="369"/>
        <v>6300000.0000000009</v>
      </c>
      <c r="DY165" s="87"/>
      <c r="DZ165" s="53">
        <f t="shared" si="360"/>
        <v>2044</v>
      </c>
      <c r="EA165" s="35">
        <f t="shared" si="361"/>
        <v>0</v>
      </c>
      <c r="EB165" s="35">
        <f t="shared" si="362"/>
        <v>6300000.0000000009</v>
      </c>
      <c r="ED165" s="181">
        <f t="shared" si="370"/>
        <v>21</v>
      </c>
    </row>
    <row r="166" spans="1:134" s="33" customFormat="1" outlineLevel="1">
      <c r="A166" s="7">
        <f t="shared" si="363"/>
        <v>2045</v>
      </c>
      <c r="B166" s="151">
        <f>Assumptions!B29</f>
        <v>5.3800000000000001E-2</v>
      </c>
      <c r="C166" s="151">
        <f>Assumptions!C29</f>
        <v>5.3800000000000001E-2</v>
      </c>
      <c r="D166" s="151">
        <f>Assumptions!D29</f>
        <v>3.5000000000000003E-2</v>
      </c>
      <c r="E166" s="151">
        <f>Assumptions!E29</f>
        <v>5.2999999999999999E-2</v>
      </c>
      <c r="F166" s="8"/>
      <c r="G166" s="8"/>
      <c r="H166" s="8"/>
      <c r="I166" s="8"/>
      <c r="J166" s="8"/>
      <c r="K166" s="8"/>
      <c r="L166" s="8"/>
      <c r="M166" s="87">
        <f t="shared" si="320"/>
        <v>0</v>
      </c>
      <c r="N166" s="77" t="str">
        <f t="shared" si="321"/>
        <v xml:space="preserve">   </v>
      </c>
      <c r="O166" s="87">
        <f>IF($A166&gt;M$191, 0, IF($A166=M$191, N166*SUM(M166:M$181)*M$194/M$195, SUM(M166:M$181)*N166))</f>
        <v>0</v>
      </c>
      <c r="P166" s="35"/>
      <c r="Q166" s="87">
        <f t="shared" si="322"/>
        <v>0</v>
      </c>
      <c r="R166" s="77" t="str">
        <f t="shared" si="323"/>
        <v xml:space="preserve">   </v>
      </c>
      <c r="S166" s="87">
        <f>IF($A166&gt;Q$191, 0, IF($A166=Q$191, R166*SUM(Q166:Q$181)*Q$194/Q$195, SUM(Q166:Q$181)*R166))</f>
        <v>0</v>
      </c>
      <c r="T166" s="35"/>
      <c r="U166" s="35">
        <f t="shared" si="324"/>
        <v>0</v>
      </c>
      <c r="V166" s="35">
        <f t="shared" si="325"/>
        <v>0</v>
      </c>
      <c r="W166" s="35"/>
      <c r="X166" s="87">
        <f t="shared" si="326"/>
        <v>0</v>
      </c>
      <c r="Y166" s="77" t="str">
        <f t="shared" si="327"/>
        <v xml:space="preserve">   </v>
      </c>
      <c r="Z166" s="87">
        <f>IF($A166&gt;X$191, 0, IF($A166=X$191, Y166*SUM(X166:X$181)*X$194/X$195, SUM(X166:X$181)*Y166))</f>
        <v>0</v>
      </c>
      <c r="AA166" s="87"/>
      <c r="AB166" s="87">
        <f t="shared" si="328"/>
        <v>0</v>
      </c>
      <c r="AC166" s="77" t="str">
        <f t="shared" si="329"/>
        <v xml:space="preserve">   </v>
      </c>
      <c r="AD166" s="87">
        <f>IF($A166&gt;AB$191, 0, IF($A166=AB$191, AC166*SUM(AB166:AB$181)*AB$194/AB$195, SUM(AB166:AB$181)*AC166))</f>
        <v>0</v>
      </c>
      <c r="AE166" s="35"/>
      <c r="AF166" s="87">
        <f t="shared" si="330"/>
        <v>0</v>
      </c>
      <c r="AG166" s="77" t="str">
        <f t="shared" si="331"/>
        <v xml:space="preserve">   </v>
      </c>
      <c r="AH166" s="87">
        <f>IF($A166&gt;AF$191, 0, IF($A166=AF$191, AG166*SUM(AF166:AF$181)*AF$194/AF$195, SUM(AF166:AF$181)*AG166))</f>
        <v>0</v>
      </c>
      <c r="AI166" s="35"/>
      <c r="AJ166" s="87"/>
      <c r="AK166" s="77"/>
      <c r="AL166" s="87"/>
      <c r="AM166" s="35"/>
      <c r="AN166" s="87">
        <f t="shared" si="332"/>
        <v>0</v>
      </c>
      <c r="AO166" s="77" t="str">
        <f t="shared" si="333"/>
        <v xml:space="preserve">   </v>
      </c>
      <c r="AP166" s="87">
        <f>IF($A166&gt;AN$191, 0, IF($A166=AN$191, AO166*SUM(AN166:AN$181)*AN$194/AN$195, SUM(AN166:AN$181)*AO166))</f>
        <v>0</v>
      </c>
      <c r="AQ166" s="35"/>
      <c r="AR166" s="87">
        <f t="shared" si="334"/>
        <v>0</v>
      </c>
      <c r="AS166" s="77" t="str">
        <f t="shared" si="335"/>
        <v xml:space="preserve">   </v>
      </c>
      <c r="AT166" s="87">
        <f>IF($A166&gt;AR$191, 0, IF($A166=AR$191, AS166*SUM(AR166:AR$181)*AR$194/AR$195, SUM(AR166:AR$181)*AS166))</f>
        <v>0</v>
      </c>
      <c r="AV166" s="35">
        <f t="shared" si="336"/>
        <v>0</v>
      </c>
      <c r="AW166" s="35">
        <f t="shared" si="337"/>
        <v>0</v>
      </c>
      <c r="AX166" s="35"/>
      <c r="AY166" s="87">
        <f t="shared" si="338"/>
        <v>0</v>
      </c>
      <c r="AZ166" s="77" t="str">
        <f t="shared" si="339"/>
        <v xml:space="preserve">   </v>
      </c>
      <c r="BA166" s="87">
        <f>IF($A166&gt;AY$191, 0, IF($A166=AY$191, AZ166*SUM(AY166:AY$181)*AY$194/AY$195, SUM(AY166:AY$181)*AZ166))</f>
        <v>0</v>
      </c>
      <c r="BB166" s="61"/>
      <c r="BC166" s="87">
        <f t="shared" si="340"/>
        <v>0</v>
      </c>
      <c r="BD166" s="77">
        <f t="shared" si="341"/>
        <v>3.5000000000000003E-2</v>
      </c>
      <c r="BE166" s="87">
        <f>IF($A166&gt;BC$191, 0, IF($A166=BC$191, BD166*SUM(BC166:BC$181)*BC$194/BC$195, SUM(BC166:BC$181)*BD166))</f>
        <v>1050000</v>
      </c>
      <c r="BF166" s="61"/>
      <c r="BG166" s="87">
        <f t="shared" si="342"/>
        <v>0</v>
      </c>
      <c r="BH166" s="77">
        <f t="shared" si="343"/>
        <v>3.5000000000000003E-2</v>
      </c>
      <c r="BI166" s="87">
        <f>IF($A166&gt;BG$191, 0, IF($A166=BG$191, BH166*SUM(BG166:BG$181)*BG$194/BG$195, SUM(BG166:BG$181)*BH166))</f>
        <v>2625000.0000000005</v>
      </c>
      <c r="BJ166" s="61"/>
      <c r="BK166" s="35">
        <f t="shared" si="364"/>
        <v>0</v>
      </c>
      <c r="BL166" s="35">
        <f t="shared" si="365"/>
        <v>3675000.0000000005</v>
      </c>
      <c r="BM166" s="8"/>
      <c r="BN166" s="87">
        <f t="shared" si="344"/>
        <v>0</v>
      </c>
      <c r="BO166" s="77" t="str">
        <f t="shared" si="345"/>
        <v xml:space="preserve">   </v>
      </c>
      <c r="BP166" s="87">
        <f>IF($A166&gt;BN$191, 0, IF($A166=BN$191, BO166*SUM(BN166:BN$181)*BN$194/BN$195, SUM(BN166:BN$181)*BO166))</f>
        <v>0</v>
      </c>
      <c r="BQ166" s="77"/>
      <c r="BR166" s="87"/>
      <c r="BS166" s="77"/>
      <c r="BT166" s="87"/>
      <c r="BU166" s="87"/>
      <c r="BV166" s="35">
        <f t="shared" si="366"/>
        <v>0</v>
      </c>
      <c r="BW166" s="35">
        <f t="shared" si="367"/>
        <v>0</v>
      </c>
      <c r="BX166" s="87"/>
      <c r="BY166" s="87">
        <f t="shared" si="346"/>
        <v>0</v>
      </c>
      <c r="BZ166" s="77" t="str">
        <f t="shared" si="347"/>
        <v xml:space="preserve">   </v>
      </c>
      <c r="CA166" s="87">
        <f>IF($A166&gt;BY$191, 0, IF($A166=BY$191, BZ166*SUM(BY166:BY$181)*BY$194/BY$195, SUM(BY166:BY$181)*BZ166))</f>
        <v>0</v>
      </c>
      <c r="CB166" s="87"/>
      <c r="CC166" s="87">
        <f t="shared" si="348"/>
        <v>0</v>
      </c>
      <c r="CD166" s="77" t="str">
        <f t="shared" si="349"/>
        <v xml:space="preserve">   </v>
      </c>
      <c r="CE166" s="87">
        <f>IF($A166&gt;CC$191, 0, IF($A166=CC$191, CD166*SUM(CC166:CC$181)*CC$194/CC$195, SUM(CC166:CC$181)*CD166))</f>
        <v>0</v>
      </c>
      <c r="CF166" s="87"/>
      <c r="CG166" s="87"/>
      <c r="CH166" s="77"/>
      <c r="CI166" s="87"/>
      <c r="CJ166" s="87"/>
      <c r="CK166" s="87">
        <f t="shared" si="350"/>
        <v>0</v>
      </c>
      <c r="CL166" s="77">
        <f t="shared" si="351"/>
        <v>3.5000000000000003E-2</v>
      </c>
      <c r="CM166" s="87">
        <f>IF($A166&gt;CK$191, 0, IF($A166=CK$191, CL166*SUM(CK166:CK$181)*CK$194/CK$195, SUM(CK166:CK$181)*CL166))</f>
        <v>2625000.0000000005</v>
      </c>
      <c r="CN166" s="87"/>
      <c r="CO166" s="162">
        <f t="shared" si="352"/>
        <v>0</v>
      </c>
      <c r="CP166" s="87">
        <f t="shared" si="353"/>
        <v>2625000.0000000005</v>
      </c>
      <c r="CQ166" s="6"/>
      <c r="CR166" s="87">
        <f t="shared" si="354"/>
        <v>0</v>
      </c>
      <c r="CS166" s="77" t="str">
        <f t="shared" si="355"/>
        <v xml:space="preserve">   </v>
      </c>
      <c r="CT166" s="87">
        <f>IF($A166&gt;CR$191, 0, IF($A166=CR$191, CS166*SUM(CR166:CR$181)*CR$194/CR$195, SUM(CR166:CR$181)*CS166))</f>
        <v>0</v>
      </c>
      <c r="CZ166" s="165">
        <f t="shared" si="356"/>
        <v>0</v>
      </c>
      <c r="DA166" s="165">
        <f t="shared" si="357"/>
        <v>0</v>
      </c>
      <c r="DB166" s="87"/>
      <c r="DC166" s="87">
        <f t="shared" si="358"/>
        <v>0</v>
      </c>
      <c r="DD166" s="77" t="str">
        <f t="shared" si="359"/>
        <v xml:space="preserve">   </v>
      </c>
      <c r="DE166" s="87">
        <f>IF($A166&gt;DC$191, 0, IF($A166=DC$191, DD166*SUM(DC166:DC$181)*DC$194/DC$195, SUM(DC166:DC$181)*DD166))</f>
        <v>0</v>
      </c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W166" s="165">
        <f t="shared" si="368"/>
        <v>0</v>
      </c>
      <c r="DX166" s="165">
        <f t="shared" si="369"/>
        <v>6300000.0000000009</v>
      </c>
      <c r="DY166" s="87"/>
      <c r="DZ166" s="53">
        <f t="shared" si="360"/>
        <v>2045</v>
      </c>
      <c r="EA166" s="35">
        <f t="shared" si="361"/>
        <v>0</v>
      </c>
      <c r="EB166" s="35">
        <f t="shared" si="362"/>
        <v>6300000.0000000009</v>
      </c>
      <c r="ED166" s="181">
        <f t="shared" si="370"/>
        <v>22</v>
      </c>
    </row>
    <row r="167" spans="1:134" s="33" customFormat="1" outlineLevel="1">
      <c r="A167" s="7">
        <f t="shared" si="363"/>
        <v>2046</v>
      </c>
      <c r="B167" s="151">
        <f>Assumptions!B30</f>
        <v>5.3800000000000001E-2</v>
      </c>
      <c r="C167" s="151">
        <f>Assumptions!C30</f>
        <v>5.3800000000000001E-2</v>
      </c>
      <c r="D167" s="151">
        <f>Assumptions!D30</f>
        <v>3.5000000000000003E-2</v>
      </c>
      <c r="E167" s="151">
        <f>Assumptions!E30</f>
        <v>5.2999999999999999E-2</v>
      </c>
      <c r="F167" s="8"/>
      <c r="G167" s="8"/>
      <c r="H167" s="8"/>
      <c r="I167" s="8"/>
      <c r="J167" s="8"/>
      <c r="K167" s="8"/>
      <c r="L167" s="8"/>
      <c r="M167" s="87">
        <f t="shared" si="320"/>
        <v>0</v>
      </c>
      <c r="N167" s="77" t="str">
        <f t="shared" si="321"/>
        <v xml:space="preserve">   </v>
      </c>
      <c r="O167" s="87">
        <f>IF($A167&gt;M$191, 0, IF($A167=M$191, N167*SUM(M167:M$181)*M$194/M$195, SUM(M167:M$181)*N167))</f>
        <v>0</v>
      </c>
      <c r="P167" s="35"/>
      <c r="Q167" s="87">
        <f t="shared" si="322"/>
        <v>0</v>
      </c>
      <c r="R167" s="77" t="str">
        <f t="shared" si="323"/>
        <v xml:space="preserve">   </v>
      </c>
      <c r="S167" s="87">
        <f>IF($A167&gt;Q$191, 0, IF($A167=Q$191, R167*SUM(Q167:Q$181)*Q$194/Q$195, SUM(Q167:Q$181)*R167))</f>
        <v>0</v>
      </c>
      <c r="T167" s="35"/>
      <c r="U167" s="35">
        <f t="shared" si="324"/>
        <v>0</v>
      </c>
      <c r="V167" s="35">
        <f t="shared" si="325"/>
        <v>0</v>
      </c>
      <c r="W167" s="35"/>
      <c r="X167" s="87">
        <f t="shared" si="326"/>
        <v>0</v>
      </c>
      <c r="Y167" s="77" t="str">
        <f t="shared" si="327"/>
        <v xml:space="preserve">   </v>
      </c>
      <c r="Z167" s="87">
        <f>IF($A167&gt;X$191, 0, IF($A167=X$191, Y167*SUM(X167:X$181)*X$194/X$195, SUM(X167:X$181)*Y167))</f>
        <v>0</v>
      </c>
      <c r="AA167" s="87"/>
      <c r="AB167" s="87">
        <f t="shared" si="328"/>
        <v>0</v>
      </c>
      <c r="AC167" s="77" t="str">
        <f t="shared" si="329"/>
        <v xml:space="preserve">   </v>
      </c>
      <c r="AD167" s="87">
        <f>IF($A167&gt;AB$191, 0, IF($A167=AB$191, AC167*SUM(AB167:AB$181)*AB$194/AB$195, SUM(AB167:AB$181)*AC167))</f>
        <v>0</v>
      </c>
      <c r="AE167" s="35"/>
      <c r="AF167" s="87">
        <f t="shared" si="330"/>
        <v>0</v>
      </c>
      <c r="AG167" s="77" t="str">
        <f t="shared" si="331"/>
        <v xml:space="preserve">   </v>
      </c>
      <c r="AH167" s="87">
        <f>IF($A167&gt;AF$191, 0, IF($A167=AF$191, AG167*SUM(AF167:AF$181)*AF$194/AF$195, SUM(AF167:AF$181)*AG167))</f>
        <v>0</v>
      </c>
      <c r="AI167" s="35"/>
      <c r="AJ167" s="87"/>
      <c r="AK167" s="77"/>
      <c r="AL167" s="87"/>
      <c r="AM167" s="35"/>
      <c r="AN167" s="87">
        <f t="shared" si="332"/>
        <v>0</v>
      </c>
      <c r="AO167" s="77" t="str">
        <f t="shared" si="333"/>
        <v xml:space="preserve">   </v>
      </c>
      <c r="AP167" s="87">
        <f>IF($A167&gt;AN$191, 0, IF($A167=AN$191, AO167*SUM(AN167:AN$181)*AN$194/AN$195, SUM(AN167:AN$181)*AO167))</f>
        <v>0</v>
      </c>
      <c r="AQ167" s="35"/>
      <c r="AR167" s="87">
        <f t="shared" si="334"/>
        <v>0</v>
      </c>
      <c r="AS167" s="77" t="str">
        <f t="shared" si="335"/>
        <v xml:space="preserve">   </v>
      </c>
      <c r="AT167" s="87">
        <f>IF($A167&gt;AR$191, 0, IF($A167=AR$191, AS167*SUM(AR167:AR$181)*AR$194/AR$195, SUM(AR167:AR$181)*AS167))</f>
        <v>0</v>
      </c>
      <c r="AV167" s="35">
        <f t="shared" si="336"/>
        <v>0</v>
      </c>
      <c r="AW167" s="35">
        <f t="shared" si="337"/>
        <v>0</v>
      </c>
      <c r="AX167" s="35"/>
      <c r="AY167" s="87">
        <f t="shared" si="338"/>
        <v>0</v>
      </c>
      <c r="AZ167" s="77" t="str">
        <f t="shared" si="339"/>
        <v xml:space="preserve">   </v>
      </c>
      <c r="BA167" s="87">
        <f>IF($A167&gt;AY$191, 0, IF($A167=AY$191, AZ167*SUM(AY167:AY$181)*AY$194/AY$195, SUM(AY167:AY$181)*AZ167))</f>
        <v>0</v>
      </c>
      <c r="BB167" s="61"/>
      <c r="BC167" s="87">
        <f t="shared" si="340"/>
        <v>0</v>
      </c>
      <c r="BD167" s="77">
        <f t="shared" si="341"/>
        <v>3.5000000000000003E-2</v>
      </c>
      <c r="BE167" s="87">
        <f>IF($A167&gt;BC$191, 0, IF($A167=BC$191, BD167*SUM(BC167:BC$181)*BC$194/BC$195, SUM(BC167:BC$181)*BD167))</f>
        <v>1050000</v>
      </c>
      <c r="BF167" s="61"/>
      <c r="BG167" s="87">
        <f t="shared" si="342"/>
        <v>0</v>
      </c>
      <c r="BH167" s="77">
        <f t="shared" si="343"/>
        <v>3.5000000000000003E-2</v>
      </c>
      <c r="BI167" s="87">
        <f>IF($A167&gt;BG$191, 0, IF($A167=BG$191, BH167*SUM(BG167:BG$181)*BG$194/BG$195, SUM(BG167:BG$181)*BH167))</f>
        <v>2625000.0000000005</v>
      </c>
      <c r="BJ167" s="61"/>
      <c r="BK167" s="35">
        <f t="shared" si="364"/>
        <v>0</v>
      </c>
      <c r="BL167" s="35">
        <f t="shared" si="365"/>
        <v>3675000.0000000005</v>
      </c>
      <c r="BM167" s="8"/>
      <c r="BN167" s="87">
        <f t="shared" si="344"/>
        <v>0</v>
      </c>
      <c r="BO167" s="77" t="str">
        <f t="shared" si="345"/>
        <v xml:space="preserve">   </v>
      </c>
      <c r="BP167" s="87">
        <f>IF($A167&gt;BN$191, 0, IF($A167=BN$191, BO167*SUM(BN167:BN$181)*BN$194/BN$195, SUM(BN167:BN$181)*BO167))</f>
        <v>0</v>
      </c>
      <c r="BQ167" s="77"/>
      <c r="BR167" s="87"/>
      <c r="BS167" s="77"/>
      <c r="BT167" s="87"/>
      <c r="BU167" s="87"/>
      <c r="BV167" s="35">
        <f t="shared" si="366"/>
        <v>0</v>
      </c>
      <c r="BW167" s="35">
        <f t="shared" si="367"/>
        <v>0</v>
      </c>
      <c r="BX167" s="87"/>
      <c r="BY167" s="87">
        <f t="shared" si="346"/>
        <v>0</v>
      </c>
      <c r="BZ167" s="77" t="str">
        <f t="shared" si="347"/>
        <v xml:space="preserve">   </v>
      </c>
      <c r="CA167" s="87">
        <f>IF($A167&gt;BY$191, 0, IF($A167=BY$191, BZ167*SUM(BY167:BY$181)*BY$194/BY$195, SUM(BY167:BY$181)*BZ167))</f>
        <v>0</v>
      </c>
      <c r="CB167" s="87"/>
      <c r="CC167" s="87">
        <f t="shared" si="348"/>
        <v>0</v>
      </c>
      <c r="CD167" s="77" t="str">
        <f t="shared" si="349"/>
        <v xml:space="preserve">   </v>
      </c>
      <c r="CE167" s="87">
        <f>IF($A167&gt;CC$191, 0, IF($A167=CC$191, CD167*SUM(CC167:CC$181)*CC$194/CC$195, SUM(CC167:CC$181)*CD167))</f>
        <v>0</v>
      </c>
      <c r="CF167" s="87"/>
      <c r="CG167" s="87"/>
      <c r="CH167" s="77"/>
      <c r="CI167" s="87"/>
      <c r="CJ167" s="87"/>
      <c r="CK167" s="87">
        <f t="shared" si="350"/>
        <v>0</v>
      </c>
      <c r="CL167" s="77">
        <f t="shared" si="351"/>
        <v>3.5000000000000003E-2</v>
      </c>
      <c r="CM167" s="87">
        <f>IF($A167&gt;CK$191, 0, IF($A167=CK$191, CL167*SUM(CK167:CK$181)*CK$194/CK$195, SUM(CK167:CK$181)*CL167))</f>
        <v>2625000.0000000005</v>
      </c>
      <c r="CN167" s="87"/>
      <c r="CO167" s="162">
        <f t="shared" si="352"/>
        <v>0</v>
      </c>
      <c r="CP167" s="87">
        <f t="shared" si="353"/>
        <v>2625000.0000000005</v>
      </c>
      <c r="CQ167" s="6"/>
      <c r="CR167" s="87">
        <f t="shared" si="354"/>
        <v>0</v>
      </c>
      <c r="CS167" s="77" t="str">
        <f t="shared" si="355"/>
        <v xml:space="preserve">   </v>
      </c>
      <c r="CT167" s="87">
        <f>IF($A167&gt;CR$191, 0, IF($A167=CR$191, CS167*SUM(CR167:CR$181)*CR$194/CR$195, SUM(CR167:CR$181)*CS167))</f>
        <v>0</v>
      </c>
      <c r="CZ167" s="165">
        <f t="shared" si="356"/>
        <v>0</v>
      </c>
      <c r="DA167" s="165">
        <f t="shared" si="357"/>
        <v>0</v>
      </c>
      <c r="DB167" s="87"/>
      <c r="DC167" s="87">
        <f t="shared" si="358"/>
        <v>0</v>
      </c>
      <c r="DD167" s="77" t="str">
        <f t="shared" si="359"/>
        <v xml:space="preserve">   </v>
      </c>
      <c r="DE167" s="87">
        <f>IF($A167&gt;DC$191, 0, IF($A167=DC$191, DD167*SUM(DC167:DC$181)*DC$194/DC$195, SUM(DC167:DC$181)*DD167))</f>
        <v>0</v>
      </c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W167" s="165">
        <f t="shared" si="368"/>
        <v>0</v>
      </c>
      <c r="DX167" s="165">
        <f t="shared" si="369"/>
        <v>6300000.0000000009</v>
      </c>
      <c r="DY167" s="87"/>
      <c r="DZ167" s="53">
        <f t="shared" si="360"/>
        <v>2046</v>
      </c>
      <c r="EA167" s="35">
        <f t="shared" si="361"/>
        <v>0</v>
      </c>
      <c r="EB167" s="35">
        <f t="shared" si="362"/>
        <v>6300000.0000000009</v>
      </c>
      <c r="ED167" s="181">
        <f t="shared" si="370"/>
        <v>23</v>
      </c>
    </row>
    <row r="168" spans="1:134" s="33" customFormat="1" outlineLevel="1">
      <c r="A168" s="7">
        <f t="shared" si="363"/>
        <v>2047</v>
      </c>
      <c r="B168" s="151">
        <f>Assumptions!B31</f>
        <v>5.3800000000000001E-2</v>
      </c>
      <c r="C168" s="151">
        <f>Assumptions!C31</f>
        <v>5.3800000000000001E-2</v>
      </c>
      <c r="D168" s="151">
        <f>Assumptions!D31</f>
        <v>3.5000000000000003E-2</v>
      </c>
      <c r="E168" s="151">
        <f>Assumptions!E31</f>
        <v>5.2999999999999999E-2</v>
      </c>
      <c r="F168" s="8"/>
      <c r="G168" s="8"/>
      <c r="H168" s="8"/>
      <c r="I168" s="8"/>
      <c r="J168" s="8"/>
      <c r="K168" s="8"/>
      <c r="L168" s="8"/>
      <c r="M168" s="87">
        <f t="shared" si="320"/>
        <v>0</v>
      </c>
      <c r="N168" s="77" t="str">
        <f t="shared" si="321"/>
        <v xml:space="preserve">   </v>
      </c>
      <c r="O168" s="87">
        <f>IF($A168&gt;M$191, 0, IF($A168=M$191, N168*SUM(M168:M$181)*M$194/M$195, SUM(M168:M$181)*N168))</f>
        <v>0</v>
      </c>
      <c r="P168" s="35"/>
      <c r="Q168" s="87">
        <f t="shared" si="322"/>
        <v>0</v>
      </c>
      <c r="R168" s="77" t="str">
        <f t="shared" si="323"/>
        <v xml:space="preserve">   </v>
      </c>
      <c r="S168" s="87">
        <f>IF($A168&gt;Q$191, 0, IF($A168=Q$191, R168*SUM(Q168:Q$181)*Q$194/Q$195, SUM(Q168:Q$181)*R168))</f>
        <v>0</v>
      </c>
      <c r="T168" s="35"/>
      <c r="U168" s="35">
        <f t="shared" si="324"/>
        <v>0</v>
      </c>
      <c r="V168" s="35">
        <f t="shared" si="325"/>
        <v>0</v>
      </c>
      <c r="W168" s="35"/>
      <c r="X168" s="87">
        <f t="shared" si="326"/>
        <v>0</v>
      </c>
      <c r="Y168" s="77" t="str">
        <f t="shared" si="327"/>
        <v xml:space="preserve">   </v>
      </c>
      <c r="Z168" s="87">
        <f>IF($A168&gt;X$191, 0, IF($A168=X$191, Y168*SUM(X168:X$181)*X$194/X$195, SUM(X168:X$181)*Y168))</f>
        <v>0</v>
      </c>
      <c r="AA168" s="87"/>
      <c r="AB168" s="87">
        <f t="shared" si="328"/>
        <v>0</v>
      </c>
      <c r="AC168" s="77" t="str">
        <f t="shared" si="329"/>
        <v xml:space="preserve">   </v>
      </c>
      <c r="AD168" s="87">
        <f>IF($A168&gt;AB$191, 0, IF($A168=AB$191, AC168*SUM(AB168:AB$181)*AB$194/AB$195, SUM(AB168:AB$181)*AC168))</f>
        <v>0</v>
      </c>
      <c r="AE168" s="35"/>
      <c r="AF168" s="87">
        <f t="shared" si="330"/>
        <v>0</v>
      </c>
      <c r="AG168" s="77" t="str">
        <f t="shared" si="331"/>
        <v xml:space="preserve">   </v>
      </c>
      <c r="AH168" s="87">
        <f>IF($A168&gt;AF$191, 0, IF($A168=AF$191, AG168*SUM(AF168:AF$181)*AF$194/AF$195, SUM(AF168:AF$181)*AG168))</f>
        <v>0</v>
      </c>
      <c r="AI168" s="35"/>
      <c r="AJ168" s="87"/>
      <c r="AK168" s="77"/>
      <c r="AL168" s="87"/>
      <c r="AM168" s="35"/>
      <c r="AN168" s="87">
        <f t="shared" si="332"/>
        <v>0</v>
      </c>
      <c r="AO168" s="77" t="str">
        <f t="shared" si="333"/>
        <v xml:space="preserve">   </v>
      </c>
      <c r="AP168" s="87">
        <f>IF($A168&gt;AN$191, 0, IF($A168=AN$191, AO168*SUM(AN168:AN$181)*AN$194/AN$195, SUM(AN168:AN$181)*AO168))</f>
        <v>0</v>
      </c>
      <c r="AQ168" s="35"/>
      <c r="AR168" s="87">
        <f t="shared" si="334"/>
        <v>0</v>
      </c>
      <c r="AS168" s="77" t="str">
        <f t="shared" si="335"/>
        <v xml:space="preserve">   </v>
      </c>
      <c r="AT168" s="87">
        <f>IF($A168&gt;AR$191, 0, IF($A168=AR$191, AS168*SUM(AR168:AR$181)*AR$194/AR$195, SUM(AR168:AR$181)*AS168))</f>
        <v>0</v>
      </c>
      <c r="AV168" s="35">
        <f t="shared" si="336"/>
        <v>0</v>
      </c>
      <c r="AW168" s="35">
        <f t="shared" si="337"/>
        <v>0</v>
      </c>
      <c r="AX168" s="35"/>
      <c r="AY168" s="87">
        <f t="shared" si="338"/>
        <v>0</v>
      </c>
      <c r="AZ168" s="77" t="str">
        <f t="shared" si="339"/>
        <v xml:space="preserve">   </v>
      </c>
      <c r="BA168" s="87">
        <f>IF($A168&gt;AY$191, 0, IF($A168=AY$191, AZ168*SUM(AY168:AY$181)*AY$194/AY$195, SUM(AY168:AY$181)*AZ168))</f>
        <v>0</v>
      </c>
      <c r="BB168" s="61"/>
      <c r="BC168" s="87">
        <f t="shared" si="340"/>
        <v>0</v>
      </c>
      <c r="BD168" s="77">
        <f t="shared" si="341"/>
        <v>3.5000000000000003E-2</v>
      </c>
      <c r="BE168" s="87">
        <f>IF($A168&gt;BC$191, 0, IF($A168=BC$191, BD168*SUM(BC168:BC$181)*BC$194/BC$195, SUM(BC168:BC$181)*BD168))</f>
        <v>1050000</v>
      </c>
      <c r="BF168" s="61"/>
      <c r="BG168" s="87">
        <f t="shared" si="342"/>
        <v>0</v>
      </c>
      <c r="BH168" s="77">
        <f t="shared" si="343"/>
        <v>3.5000000000000003E-2</v>
      </c>
      <c r="BI168" s="87">
        <f>IF($A168&gt;BG$191, 0, IF($A168=BG$191, BH168*SUM(BG168:BG$181)*BG$194/BG$195, SUM(BG168:BG$181)*BH168))</f>
        <v>2625000.0000000005</v>
      </c>
      <c r="BJ168" s="61"/>
      <c r="BK168" s="35">
        <f t="shared" si="364"/>
        <v>0</v>
      </c>
      <c r="BL168" s="35">
        <f t="shared" si="365"/>
        <v>3675000.0000000005</v>
      </c>
      <c r="BM168" s="8"/>
      <c r="BN168" s="87">
        <f t="shared" si="344"/>
        <v>0</v>
      </c>
      <c r="BO168" s="77" t="str">
        <f t="shared" si="345"/>
        <v xml:space="preserve">   </v>
      </c>
      <c r="BP168" s="87">
        <f>IF($A168&gt;BN$191, 0, IF($A168=BN$191, BO168*SUM(BN168:BN$181)*BN$194/BN$195, SUM(BN168:BN$181)*BO168))</f>
        <v>0</v>
      </c>
      <c r="BQ168" s="77"/>
      <c r="BR168" s="87"/>
      <c r="BS168" s="77"/>
      <c r="BT168" s="87"/>
      <c r="BU168" s="87"/>
      <c r="BV168" s="35">
        <f t="shared" si="366"/>
        <v>0</v>
      </c>
      <c r="BW168" s="35">
        <f t="shared" si="367"/>
        <v>0</v>
      </c>
      <c r="BX168" s="87"/>
      <c r="BY168" s="87">
        <f t="shared" si="346"/>
        <v>0</v>
      </c>
      <c r="BZ168" s="77" t="str">
        <f t="shared" si="347"/>
        <v xml:space="preserve">   </v>
      </c>
      <c r="CA168" s="87">
        <f>IF($A168&gt;BY$191, 0, IF($A168=BY$191, BZ168*SUM(BY168:BY$181)*BY$194/BY$195, SUM(BY168:BY$181)*BZ168))</f>
        <v>0</v>
      </c>
      <c r="CB168" s="87"/>
      <c r="CC168" s="87">
        <f t="shared" si="348"/>
        <v>0</v>
      </c>
      <c r="CD168" s="77" t="str">
        <f t="shared" si="349"/>
        <v xml:space="preserve">   </v>
      </c>
      <c r="CE168" s="87">
        <f>IF($A168&gt;CC$191, 0, IF($A168=CC$191, CD168*SUM(CC168:CC$181)*CC$194/CC$195, SUM(CC168:CC$181)*CD168))</f>
        <v>0</v>
      </c>
      <c r="CF168" s="87"/>
      <c r="CG168" s="87"/>
      <c r="CH168" s="77"/>
      <c r="CI168" s="87"/>
      <c r="CJ168" s="87"/>
      <c r="CK168" s="87">
        <f t="shared" si="350"/>
        <v>0</v>
      </c>
      <c r="CL168" s="77">
        <f t="shared" si="351"/>
        <v>3.5000000000000003E-2</v>
      </c>
      <c r="CM168" s="87">
        <f>IF($A168&gt;CK$191, 0, IF($A168=CK$191, CL168*SUM(CK168:CK$181)*CK$194/CK$195, SUM(CK168:CK$181)*CL168))</f>
        <v>2625000.0000000005</v>
      </c>
      <c r="CN168" s="87"/>
      <c r="CO168" s="162">
        <f t="shared" si="352"/>
        <v>0</v>
      </c>
      <c r="CP168" s="87">
        <f t="shared" si="353"/>
        <v>2625000.0000000005</v>
      </c>
      <c r="CQ168" s="6"/>
      <c r="CR168" s="87">
        <f t="shared" si="354"/>
        <v>0</v>
      </c>
      <c r="CS168" s="77" t="str">
        <f t="shared" si="355"/>
        <v xml:space="preserve">   </v>
      </c>
      <c r="CT168" s="87">
        <f>IF($A168&gt;CR$191, 0, IF($A168=CR$191, CS168*SUM(CR168:CR$181)*CR$194/CR$195, SUM(CR168:CR$181)*CS168))</f>
        <v>0</v>
      </c>
      <c r="CZ168" s="165">
        <f t="shared" si="356"/>
        <v>0</v>
      </c>
      <c r="DA168" s="165">
        <f t="shared" si="357"/>
        <v>0</v>
      </c>
      <c r="DB168" s="87"/>
      <c r="DC168" s="87">
        <f t="shared" si="358"/>
        <v>0</v>
      </c>
      <c r="DD168" s="77" t="str">
        <f t="shared" si="359"/>
        <v xml:space="preserve">   </v>
      </c>
      <c r="DE168" s="87">
        <f>IF($A168&gt;DC$191, 0, IF($A168=DC$191, DD168*SUM(DC168:DC$181)*DC$194/DC$195, SUM(DC168:DC$181)*DD168))</f>
        <v>0</v>
      </c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W168" s="165">
        <f t="shared" si="368"/>
        <v>0</v>
      </c>
      <c r="DX168" s="165">
        <f t="shared" si="369"/>
        <v>6300000.0000000009</v>
      </c>
      <c r="DY168" s="87"/>
      <c r="DZ168" s="53">
        <f t="shared" si="360"/>
        <v>2047</v>
      </c>
      <c r="EA168" s="35">
        <f t="shared" si="361"/>
        <v>0</v>
      </c>
      <c r="EB168" s="35">
        <f t="shared" si="362"/>
        <v>6300000.0000000009</v>
      </c>
      <c r="ED168" s="181">
        <f t="shared" si="370"/>
        <v>24</v>
      </c>
    </row>
    <row r="169" spans="1:134" s="33" customFormat="1" outlineLevel="1">
      <c r="A169" s="7">
        <f t="shared" si="363"/>
        <v>2048</v>
      </c>
      <c r="B169" s="151">
        <f>Assumptions!B32</f>
        <v>5.3800000000000001E-2</v>
      </c>
      <c r="C169" s="151">
        <f>Assumptions!C32</f>
        <v>5.3800000000000001E-2</v>
      </c>
      <c r="D169" s="151">
        <f>Assumptions!D32</f>
        <v>3.5000000000000003E-2</v>
      </c>
      <c r="E169" s="151">
        <f>Assumptions!E32</f>
        <v>5.2999999999999999E-2</v>
      </c>
      <c r="F169" s="8"/>
      <c r="G169" s="8"/>
      <c r="H169" s="8"/>
      <c r="I169" s="8"/>
      <c r="J169" s="8"/>
      <c r="K169" s="8"/>
      <c r="L169" s="8"/>
      <c r="M169" s="87">
        <f t="shared" si="320"/>
        <v>0</v>
      </c>
      <c r="N169" s="77" t="str">
        <f t="shared" si="321"/>
        <v xml:space="preserve">   </v>
      </c>
      <c r="O169" s="87">
        <f>IF($A169&gt;M$191, 0, IF($A169=M$191, N169*SUM(M169:M$181)*M$194/M$195, SUM(M169:M$181)*N169))</f>
        <v>0</v>
      </c>
      <c r="P169" s="35"/>
      <c r="Q169" s="87">
        <f t="shared" si="322"/>
        <v>0</v>
      </c>
      <c r="R169" s="77" t="str">
        <f t="shared" si="323"/>
        <v xml:space="preserve">   </v>
      </c>
      <c r="S169" s="87">
        <f>IF($A169&gt;Q$191, 0, IF($A169=Q$191, R169*SUM(Q169:Q$181)*Q$194/Q$195, SUM(Q169:Q$181)*R169))</f>
        <v>0</v>
      </c>
      <c r="T169" s="35"/>
      <c r="U169" s="35">
        <f t="shared" si="324"/>
        <v>0</v>
      </c>
      <c r="V169" s="35">
        <f t="shared" si="325"/>
        <v>0</v>
      </c>
      <c r="W169" s="35"/>
      <c r="X169" s="87">
        <f t="shared" si="326"/>
        <v>0</v>
      </c>
      <c r="Y169" s="77" t="str">
        <f t="shared" si="327"/>
        <v xml:space="preserve">   </v>
      </c>
      <c r="Z169" s="87">
        <f>IF($A169&gt;X$191, 0, IF($A169=X$191, Y169*SUM(X169:X$181)*X$194/X$195, SUM(X169:X$181)*Y169))</f>
        <v>0</v>
      </c>
      <c r="AA169" s="87"/>
      <c r="AB169" s="87">
        <f t="shared" si="328"/>
        <v>0</v>
      </c>
      <c r="AC169" s="77" t="str">
        <f t="shared" si="329"/>
        <v xml:space="preserve">   </v>
      </c>
      <c r="AD169" s="87">
        <f>IF($A169&gt;AB$191, 0, IF($A169=AB$191, AC169*SUM(AB169:AB$181)*AB$194/AB$195, SUM(AB169:AB$181)*AC169))</f>
        <v>0</v>
      </c>
      <c r="AE169" s="35"/>
      <c r="AF169" s="87">
        <f t="shared" si="330"/>
        <v>0</v>
      </c>
      <c r="AG169" s="77" t="str">
        <f t="shared" si="331"/>
        <v xml:space="preserve">   </v>
      </c>
      <c r="AH169" s="87">
        <f>IF($A169&gt;AF$191, 0, IF($A169=AF$191, AG169*SUM(AF169:AF$181)*AF$194/AF$195, SUM(AF169:AF$181)*AG169))</f>
        <v>0</v>
      </c>
      <c r="AI169" s="35"/>
      <c r="AJ169" s="87"/>
      <c r="AK169" s="77"/>
      <c r="AL169" s="87"/>
      <c r="AM169" s="35"/>
      <c r="AN169" s="87">
        <f t="shared" si="332"/>
        <v>0</v>
      </c>
      <c r="AO169" s="77" t="str">
        <f t="shared" si="333"/>
        <v xml:space="preserve">   </v>
      </c>
      <c r="AP169" s="87">
        <f>IF($A169&gt;AN$191, 0, IF($A169=AN$191, AO169*SUM(AN169:AN$181)*AN$194/AN$195, SUM(AN169:AN$181)*AO169))</f>
        <v>0</v>
      </c>
      <c r="AQ169" s="35"/>
      <c r="AR169" s="87">
        <f t="shared" si="334"/>
        <v>0</v>
      </c>
      <c r="AS169" s="77" t="str">
        <f t="shared" si="335"/>
        <v xml:space="preserve">   </v>
      </c>
      <c r="AT169" s="87">
        <f>IF($A169&gt;AR$191, 0, IF($A169=AR$191, AS169*SUM(AR169:AR$181)*AR$194/AR$195, SUM(AR169:AR$181)*AS169))</f>
        <v>0</v>
      </c>
      <c r="AV169" s="35">
        <f t="shared" si="336"/>
        <v>0</v>
      </c>
      <c r="AW169" s="35">
        <f t="shared" si="337"/>
        <v>0</v>
      </c>
      <c r="AX169" s="35"/>
      <c r="AY169" s="87">
        <f t="shared" si="338"/>
        <v>0</v>
      </c>
      <c r="AZ169" s="77" t="str">
        <f t="shared" si="339"/>
        <v xml:space="preserve">   </v>
      </c>
      <c r="BA169" s="87">
        <f>IF($A169&gt;AY$191, 0, IF($A169=AY$191, AZ169*SUM(AY169:AY$181)*AY$194/AY$195, SUM(AY169:AY$181)*AZ169))</f>
        <v>0</v>
      </c>
      <c r="BB169" s="61"/>
      <c r="BC169" s="87">
        <f t="shared" si="340"/>
        <v>30000000</v>
      </c>
      <c r="BD169" s="77">
        <f t="shared" si="341"/>
        <v>3.5000000000000003E-2</v>
      </c>
      <c r="BE169" s="87">
        <f>IF($A169&gt;BC$191, 0, IF($A169=BC$191, BD169*SUM(BC169:BC$181)*BC$194/BC$195, SUM(BC169:BC$181)*BD169))</f>
        <v>787500</v>
      </c>
      <c r="BF169" s="61"/>
      <c r="BG169" s="87">
        <f t="shared" si="342"/>
        <v>75000000</v>
      </c>
      <c r="BH169" s="77">
        <f t="shared" si="343"/>
        <v>3.5000000000000003E-2</v>
      </c>
      <c r="BI169" s="87">
        <f>IF($A169&gt;BG$191, 0, IF($A169=BG$191, BH169*SUM(BG169:BG$181)*BG$194/BG$195, SUM(BG169:BG$181)*BH169))</f>
        <v>1968750.0000000002</v>
      </c>
      <c r="BJ169" s="61"/>
      <c r="BK169" s="35">
        <f t="shared" si="364"/>
        <v>105000000</v>
      </c>
      <c r="BL169" s="35">
        <f t="shared" si="365"/>
        <v>2756250</v>
      </c>
      <c r="BM169" s="8"/>
      <c r="BN169" s="87">
        <f t="shared" si="344"/>
        <v>0</v>
      </c>
      <c r="BO169" s="77" t="str">
        <f t="shared" si="345"/>
        <v xml:space="preserve">   </v>
      </c>
      <c r="BP169" s="87">
        <f>IF($A169&gt;BN$191, 0, IF($A169=BN$191, BO169*SUM(BN169:BN$181)*BN$194/BN$195, SUM(BN169:BN$181)*BO169))</f>
        <v>0</v>
      </c>
      <c r="BQ169" s="77"/>
      <c r="BR169" s="87"/>
      <c r="BS169" s="77"/>
      <c r="BT169" s="87"/>
      <c r="BU169" s="87"/>
      <c r="BV169" s="35">
        <f t="shared" si="366"/>
        <v>0</v>
      </c>
      <c r="BW169" s="35">
        <f t="shared" si="367"/>
        <v>0</v>
      </c>
      <c r="BX169" s="87"/>
      <c r="BY169" s="87">
        <f t="shared" si="346"/>
        <v>0</v>
      </c>
      <c r="BZ169" s="77" t="str">
        <f t="shared" si="347"/>
        <v xml:space="preserve">   </v>
      </c>
      <c r="CA169" s="87">
        <f>IF($A169&gt;BY$191, 0, IF($A169=BY$191, BZ169*SUM(BY169:BY$181)*BY$194/BY$195, SUM(BY169:BY$181)*BZ169))</f>
        <v>0</v>
      </c>
      <c r="CB169" s="87"/>
      <c r="CC169" s="87">
        <f t="shared" si="348"/>
        <v>0</v>
      </c>
      <c r="CD169" s="77" t="str">
        <f t="shared" si="349"/>
        <v xml:space="preserve">   </v>
      </c>
      <c r="CE169" s="87">
        <f>IF($A169&gt;CC$191, 0, IF($A169=CC$191, CD169*SUM(CC169:CC$181)*CC$194/CC$195, SUM(CC169:CC$181)*CD169))</f>
        <v>0</v>
      </c>
      <c r="CF169" s="87"/>
      <c r="CG169" s="87"/>
      <c r="CH169" s="77"/>
      <c r="CI169" s="87"/>
      <c r="CJ169" s="87"/>
      <c r="CK169" s="87">
        <f t="shared" si="350"/>
        <v>0</v>
      </c>
      <c r="CL169" s="77">
        <f t="shared" si="351"/>
        <v>3.5000000000000003E-2</v>
      </c>
      <c r="CM169" s="87">
        <f>IF($A169&gt;CK$191, 0, IF($A169=CK$191, CL169*SUM(CK169:CK$181)*CK$194/CK$195, SUM(CK169:CK$181)*CL169))</f>
        <v>2625000.0000000005</v>
      </c>
      <c r="CN169" s="87"/>
      <c r="CO169" s="162">
        <f t="shared" si="352"/>
        <v>0</v>
      </c>
      <c r="CP169" s="87">
        <f t="shared" si="353"/>
        <v>2625000.0000000005</v>
      </c>
      <c r="CQ169" s="6"/>
      <c r="CR169" s="87">
        <f t="shared" si="354"/>
        <v>0</v>
      </c>
      <c r="CS169" s="77" t="str">
        <f t="shared" si="355"/>
        <v xml:space="preserve">   </v>
      </c>
      <c r="CT169" s="87">
        <f>IF($A169&gt;CR$191, 0, IF($A169=CR$191, CS169*SUM(CR169:CR$181)*CR$194/CR$195, SUM(CR169:CR$181)*CS169))</f>
        <v>0</v>
      </c>
      <c r="CZ169" s="165">
        <f t="shared" si="356"/>
        <v>0</v>
      </c>
      <c r="DA169" s="165">
        <f t="shared" si="357"/>
        <v>0</v>
      </c>
      <c r="DB169" s="87"/>
      <c r="DC169" s="87">
        <f t="shared" si="358"/>
        <v>0</v>
      </c>
      <c r="DD169" s="77" t="str">
        <f t="shared" si="359"/>
        <v xml:space="preserve">   </v>
      </c>
      <c r="DE169" s="87">
        <f>IF($A169&gt;DC$191, 0, IF($A169=DC$191, DD169*SUM(DC169:DC$181)*DC$194/DC$195, SUM(DC169:DC$181)*DD169))</f>
        <v>0</v>
      </c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W169" s="165">
        <f t="shared" si="368"/>
        <v>105000000</v>
      </c>
      <c r="DX169" s="165">
        <f t="shared" si="369"/>
        <v>5381250</v>
      </c>
      <c r="DY169" s="87"/>
      <c r="DZ169" s="53">
        <f t="shared" si="360"/>
        <v>2048</v>
      </c>
      <c r="EA169" s="35">
        <f t="shared" si="361"/>
        <v>105000000</v>
      </c>
      <c r="EB169" s="35">
        <f t="shared" si="362"/>
        <v>5381250</v>
      </c>
      <c r="ED169" s="181">
        <f t="shared" si="370"/>
        <v>25</v>
      </c>
    </row>
    <row r="170" spans="1:134" s="33" customFormat="1" outlineLevel="1">
      <c r="A170" s="7">
        <f t="shared" si="363"/>
        <v>2049</v>
      </c>
      <c r="B170" s="151">
        <f>Assumptions!B33</f>
        <v>5.3800000000000001E-2</v>
      </c>
      <c r="C170" s="151">
        <f>Assumptions!C33</f>
        <v>5.3800000000000001E-2</v>
      </c>
      <c r="D170" s="151">
        <f>Assumptions!D33</f>
        <v>3.5000000000000003E-2</v>
      </c>
      <c r="E170" s="151">
        <f>Assumptions!E33</f>
        <v>5.2999999999999999E-2</v>
      </c>
      <c r="F170" s="8"/>
      <c r="G170" s="8"/>
      <c r="H170" s="8"/>
      <c r="I170" s="8"/>
      <c r="J170" s="8"/>
      <c r="K170" s="8"/>
      <c r="L170" s="8"/>
      <c r="M170" s="87">
        <f t="shared" si="320"/>
        <v>0</v>
      </c>
      <c r="N170" s="77" t="str">
        <f t="shared" si="321"/>
        <v xml:space="preserve">   </v>
      </c>
      <c r="O170" s="87">
        <f>IF($A170&gt;M$191, 0, IF($A170=M$191, N170*SUM(M170:M$181)*M$194/M$195, SUM(M170:M$181)*N170))</f>
        <v>0</v>
      </c>
      <c r="P170" s="35"/>
      <c r="Q170" s="87">
        <f t="shared" si="322"/>
        <v>0</v>
      </c>
      <c r="R170" s="77" t="str">
        <f t="shared" si="323"/>
        <v xml:space="preserve">   </v>
      </c>
      <c r="S170" s="87">
        <f>IF($A170&gt;Q$191, 0, IF($A170=Q$191, R170*SUM(Q170:Q$181)*Q$194/Q$195, SUM(Q170:Q$181)*R170))</f>
        <v>0</v>
      </c>
      <c r="T170" s="35"/>
      <c r="U170" s="35">
        <f t="shared" si="324"/>
        <v>0</v>
      </c>
      <c r="V170" s="35">
        <f t="shared" si="325"/>
        <v>0</v>
      </c>
      <c r="W170" s="35"/>
      <c r="X170" s="87">
        <f t="shared" si="326"/>
        <v>0</v>
      </c>
      <c r="Y170" s="77" t="str">
        <f t="shared" si="327"/>
        <v xml:space="preserve">   </v>
      </c>
      <c r="Z170" s="87">
        <f>IF($A170&gt;X$191, 0, IF($A170=X$191, Y170*SUM(X170:X$181)*X$194/X$195, SUM(X170:X$181)*Y170))</f>
        <v>0</v>
      </c>
      <c r="AA170" s="87"/>
      <c r="AB170" s="87">
        <f t="shared" si="328"/>
        <v>0</v>
      </c>
      <c r="AC170" s="77" t="str">
        <f t="shared" si="329"/>
        <v xml:space="preserve">   </v>
      </c>
      <c r="AD170" s="87">
        <f>IF($A170&gt;AB$191, 0, IF($A170=AB$191, AC170*SUM(AB170:AB$181)*AB$194/AB$195, SUM(AB170:AB$181)*AC170))</f>
        <v>0</v>
      </c>
      <c r="AE170" s="35"/>
      <c r="AF170" s="87">
        <f t="shared" si="330"/>
        <v>0</v>
      </c>
      <c r="AG170" s="77" t="str">
        <f t="shared" si="331"/>
        <v xml:space="preserve">   </v>
      </c>
      <c r="AH170" s="87">
        <f>IF($A170&gt;AF$191, 0, IF($A170=AF$191, AG170*SUM(AF170:AF$181)*AF$194/AF$195, SUM(AF170:AF$181)*AG170))</f>
        <v>0</v>
      </c>
      <c r="AI170" s="35"/>
      <c r="AJ170" s="87"/>
      <c r="AK170" s="77"/>
      <c r="AL170" s="87"/>
      <c r="AM170" s="35"/>
      <c r="AN170" s="87">
        <f t="shared" si="332"/>
        <v>0</v>
      </c>
      <c r="AO170" s="77" t="str">
        <f t="shared" si="333"/>
        <v xml:space="preserve">   </v>
      </c>
      <c r="AP170" s="87">
        <f>IF($A170&gt;AN$191, 0, IF($A170=AN$191, AO170*SUM(AN170:AN$181)*AN$194/AN$195, SUM(AN170:AN$181)*AO170))</f>
        <v>0</v>
      </c>
      <c r="AQ170" s="35"/>
      <c r="AR170" s="87">
        <f t="shared" si="334"/>
        <v>0</v>
      </c>
      <c r="AS170" s="77" t="str">
        <f t="shared" si="335"/>
        <v xml:space="preserve">   </v>
      </c>
      <c r="AT170" s="87">
        <f>IF($A170&gt;AR$191, 0, IF($A170=AR$191, AS170*SUM(AR170:AR$181)*AR$194/AR$195, SUM(AR170:AR$181)*AS170))</f>
        <v>0</v>
      </c>
      <c r="AV170" s="35">
        <f t="shared" si="336"/>
        <v>0</v>
      </c>
      <c r="AW170" s="35">
        <f t="shared" si="337"/>
        <v>0</v>
      </c>
      <c r="AX170" s="35"/>
      <c r="AY170" s="87">
        <f t="shared" si="338"/>
        <v>0</v>
      </c>
      <c r="AZ170" s="77" t="str">
        <f t="shared" si="339"/>
        <v xml:space="preserve">   </v>
      </c>
      <c r="BA170" s="87">
        <f>IF($A170&gt;AY$191, 0, IF($A170=AY$191, AZ170*SUM(AY170:AY$181)*AY$194/AY$195, SUM(AY170:AY$181)*AZ170))</f>
        <v>0</v>
      </c>
      <c r="BB170" s="61"/>
      <c r="BC170" s="87">
        <f t="shared" si="340"/>
        <v>0</v>
      </c>
      <c r="BD170" s="77" t="str">
        <f t="shared" si="341"/>
        <v xml:space="preserve">   </v>
      </c>
      <c r="BE170" s="87">
        <f>IF($A170&gt;BC$191, 0, IF($A170=BC$191, BD170*SUM(BC170:BC$181)*BC$194/BC$195, SUM(BC170:BC$181)*BD170))</f>
        <v>0</v>
      </c>
      <c r="BF170" s="61"/>
      <c r="BG170" s="87">
        <f t="shared" si="342"/>
        <v>0</v>
      </c>
      <c r="BH170" s="77" t="str">
        <f t="shared" si="343"/>
        <v xml:space="preserve">   </v>
      </c>
      <c r="BI170" s="87">
        <f>IF($A170&gt;BG$191, 0, IF($A170=BG$191, BH170*SUM(BG170:BG$181)*BG$194/BG$195, SUM(BG170:BG$181)*BH170))</f>
        <v>0</v>
      </c>
      <c r="BJ170" s="61"/>
      <c r="BK170" s="35">
        <f t="shared" si="364"/>
        <v>0</v>
      </c>
      <c r="BL170" s="35">
        <f t="shared" si="365"/>
        <v>0</v>
      </c>
      <c r="BM170" s="8"/>
      <c r="BN170" s="87">
        <f t="shared" si="344"/>
        <v>0</v>
      </c>
      <c r="BO170" s="77" t="str">
        <f t="shared" si="345"/>
        <v xml:space="preserve">   </v>
      </c>
      <c r="BP170" s="87">
        <f>IF($A170&gt;BN$191, 0, IF($A170=BN$191, BO170*SUM(BN170:BN$181)*BN$194/BN$195, SUM(BN170:BN$181)*BO170))</f>
        <v>0</v>
      </c>
      <c r="BQ170" s="77"/>
      <c r="BR170" s="87"/>
      <c r="BS170" s="77"/>
      <c r="BT170" s="87"/>
      <c r="BU170" s="87"/>
      <c r="BV170" s="35">
        <f t="shared" si="366"/>
        <v>0</v>
      </c>
      <c r="BW170" s="35">
        <f t="shared" si="367"/>
        <v>0</v>
      </c>
      <c r="BX170" s="87"/>
      <c r="BY170" s="87">
        <f t="shared" si="346"/>
        <v>0</v>
      </c>
      <c r="BZ170" s="77" t="str">
        <f t="shared" si="347"/>
        <v xml:space="preserve">   </v>
      </c>
      <c r="CA170" s="87">
        <f>IF($A170&gt;BY$191, 0, IF($A170=BY$191, BZ170*SUM(BY170:BY$181)*BY$194/BY$195, SUM(BY170:BY$181)*BZ170))</f>
        <v>0</v>
      </c>
      <c r="CB170" s="87"/>
      <c r="CC170" s="87">
        <f t="shared" si="348"/>
        <v>0</v>
      </c>
      <c r="CD170" s="77" t="str">
        <f t="shared" si="349"/>
        <v xml:space="preserve">   </v>
      </c>
      <c r="CE170" s="87">
        <f>IF($A170&gt;CC$191, 0, IF($A170=CC$191, CD170*SUM(CC170:CC$181)*CC$194/CC$195, SUM(CC170:CC$181)*CD170))</f>
        <v>0</v>
      </c>
      <c r="CF170" s="87"/>
      <c r="CG170" s="87"/>
      <c r="CH170" s="77"/>
      <c r="CI170" s="87"/>
      <c r="CJ170" s="87"/>
      <c r="CK170" s="87">
        <f t="shared" si="350"/>
        <v>0</v>
      </c>
      <c r="CL170" s="77">
        <f t="shared" si="351"/>
        <v>3.5000000000000003E-2</v>
      </c>
      <c r="CM170" s="87">
        <f>IF($A170&gt;CK$191, 0, IF($A170=CK$191, CL170*SUM(CK170:CK$181)*CK$194/CK$195, SUM(CK170:CK$181)*CL170))</f>
        <v>2625000.0000000005</v>
      </c>
      <c r="CN170" s="87"/>
      <c r="CO170" s="162">
        <f t="shared" si="352"/>
        <v>0</v>
      </c>
      <c r="CP170" s="87">
        <f t="shared" si="353"/>
        <v>2625000.0000000005</v>
      </c>
      <c r="CQ170" s="6"/>
      <c r="CR170" s="87">
        <f t="shared" si="354"/>
        <v>0</v>
      </c>
      <c r="CS170" s="77" t="str">
        <f t="shared" si="355"/>
        <v xml:space="preserve">   </v>
      </c>
      <c r="CT170" s="87">
        <f>IF($A170&gt;CR$191, 0, IF($A170=CR$191, CS170*SUM(CR170:CR$181)*CR$194/CR$195, SUM(CR170:CR$181)*CS170))</f>
        <v>0</v>
      </c>
      <c r="CZ170" s="165">
        <f t="shared" si="356"/>
        <v>0</v>
      </c>
      <c r="DA170" s="165">
        <f t="shared" si="357"/>
        <v>0</v>
      </c>
      <c r="DB170" s="87"/>
      <c r="DC170" s="87">
        <f t="shared" si="358"/>
        <v>0</v>
      </c>
      <c r="DD170" s="77" t="str">
        <f t="shared" si="359"/>
        <v xml:space="preserve">   </v>
      </c>
      <c r="DE170" s="87">
        <f>IF($A170&gt;DC$191, 0, IF($A170=DC$191, DD170*SUM(DC170:DC$181)*DC$194/DC$195, SUM(DC170:DC$181)*DD170))</f>
        <v>0</v>
      </c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W170" s="165">
        <f t="shared" si="368"/>
        <v>0</v>
      </c>
      <c r="DX170" s="165">
        <f t="shared" si="369"/>
        <v>2625000.0000000005</v>
      </c>
      <c r="DY170" s="87"/>
      <c r="DZ170" s="53">
        <f t="shared" si="360"/>
        <v>2049</v>
      </c>
      <c r="EA170" s="35">
        <f t="shared" si="361"/>
        <v>0</v>
      </c>
      <c r="EB170" s="35">
        <f t="shared" si="362"/>
        <v>2625000.0000000005</v>
      </c>
      <c r="ED170" s="181">
        <f t="shared" si="370"/>
        <v>26</v>
      </c>
    </row>
    <row r="171" spans="1:134" s="33" customFormat="1" outlineLevel="1">
      <c r="A171" s="7">
        <f t="shared" si="363"/>
        <v>2050</v>
      </c>
      <c r="B171" s="151">
        <f>Assumptions!B34</f>
        <v>5.3800000000000001E-2</v>
      </c>
      <c r="C171" s="151">
        <f>Assumptions!C34</f>
        <v>5.3800000000000001E-2</v>
      </c>
      <c r="D171" s="151">
        <f>Assumptions!D34</f>
        <v>3.5000000000000003E-2</v>
      </c>
      <c r="E171" s="151">
        <f>Assumptions!E34</f>
        <v>5.2999999999999999E-2</v>
      </c>
      <c r="F171" s="8"/>
      <c r="G171" s="8"/>
      <c r="H171" s="8"/>
      <c r="I171" s="8"/>
      <c r="J171" s="8"/>
      <c r="K171" s="8"/>
      <c r="L171" s="8"/>
      <c r="M171" s="87">
        <f t="shared" si="320"/>
        <v>0</v>
      </c>
      <c r="N171" s="77" t="str">
        <f t="shared" si="321"/>
        <v xml:space="preserve">   </v>
      </c>
      <c r="O171" s="87">
        <f>IF($A171&gt;M$191, 0, IF($A171=M$191, N171*SUM(M171:M$181)*M$194/M$195, SUM(M171:M$181)*N171))</f>
        <v>0</v>
      </c>
      <c r="P171" s="35"/>
      <c r="Q171" s="87">
        <f t="shared" si="322"/>
        <v>0</v>
      </c>
      <c r="R171" s="77" t="str">
        <f t="shared" si="323"/>
        <v xml:space="preserve">   </v>
      </c>
      <c r="S171" s="87">
        <f>IF($A171&gt;Q$191, 0, IF($A171=Q$191, R171*SUM(Q171:Q$181)*Q$194/Q$195, SUM(Q171:Q$181)*R171))</f>
        <v>0</v>
      </c>
      <c r="T171" s="35"/>
      <c r="U171" s="35">
        <f t="shared" si="324"/>
        <v>0</v>
      </c>
      <c r="V171" s="35">
        <f t="shared" si="325"/>
        <v>0</v>
      </c>
      <c r="W171" s="35"/>
      <c r="X171" s="87">
        <f t="shared" si="326"/>
        <v>0</v>
      </c>
      <c r="Y171" s="77" t="str">
        <f t="shared" si="327"/>
        <v xml:space="preserve">   </v>
      </c>
      <c r="Z171" s="87">
        <f>IF($A171&gt;X$191, 0, IF($A171=X$191, Y171*SUM(X171:X$181)*X$194/X$195, SUM(X171:X$181)*Y171))</f>
        <v>0</v>
      </c>
      <c r="AA171" s="87"/>
      <c r="AB171" s="87">
        <f t="shared" si="328"/>
        <v>0</v>
      </c>
      <c r="AC171" s="77" t="str">
        <f t="shared" si="329"/>
        <v xml:space="preserve">   </v>
      </c>
      <c r="AD171" s="87">
        <f>IF($A171&gt;AB$191, 0, IF($A171=AB$191, AC171*SUM(AB171:AB$181)*AB$194/AB$195, SUM(AB171:AB$181)*AC171))</f>
        <v>0</v>
      </c>
      <c r="AE171" s="35"/>
      <c r="AF171" s="87">
        <f t="shared" si="330"/>
        <v>0</v>
      </c>
      <c r="AG171" s="77" t="str">
        <f t="shared" si="331"/>
        <v xml:space="preserve">   </v>
      </c>
      <c r="AH171" s="87">
        <f>IF($A171&gt;AF$191, 0, IF($A171=AF$191, AG171*SUM(AF171:AF$181)*AF$194/AF$195, SUM(AF171:AF$181)*AG171))</f>
        <v>0</v>
      </c>
      <c r="AI171" s="35"/>
      <c r="AJ171" s="87"/>
      <c r="AK171" s="77"/>
      <c r="AL171" s="87"/>
      <c r="AM171" s="35"/>
      <c r="AN171" s="87">
        <f t="shared" si="332"/>
        <v>0</v>
      </c>
      <c r="AO171" s="77" t="str">
        <f t="shared" si="333"/>
        <v xml:space="preserve">   </v>
      </c>
      <c r="AP171" s="87">
        <f>IF($A171&gt;AN$191, 0, IF($A171=AN$191, AO171*SUM(AN171:AN$181)*AN$194/AN$195, SUM(AN171:AN$181)*AO171))</f>
        <v>0</v>
      </c>
      <c r="AQ171" s="35"/>
      <c r="AR171" s="87">
        <f t="shared" si="334"/>
        <v>0</v>
      </c>
      <c r="AS171" s="77" t="str">
        <f t="shared" si="335"/>
        <v xml:space="preserve">   </v>
      </c>
      <c r="AT171" s="87">
        <f>IF($A171&gt;AR$191, 0, IF($A171=AR$191, AS171*SUM(AR171:AR$181)*AR$194/AR$195, SUM(AR171:AR$181)*AS171))</f>
        <v>0</v>
      </c>
      <c r="AV171" s="35">
        <f t="shared" si="336"/>
        <v>0</v>
      </c>
      <c r="AW171" s="35">
        <f t="shared" si="337"/>
        <v>0</v>
      </c>
      <c r="AX171" s="35"/>
      <c r="AY171" s="87">
        <f t="shared" si="338"/>
        <v>0</v>
      </c>
      <c r="AZ171" s="77" t="str">
        <f t="shared" si="339"/>
        <v xml:space="preserve">   </v>
      </c>
      <c r="BA171" s="87">
        <f>IF($A171&gt;AY$191, 0, IF($A171=AY$191, AZ171*SUM(AY171:AY$181)*AY$194/AY$195, SUM(AY171:AY$181)*AZ171))</f>
        <v>0</v>
      </c>
      <c r="BB171" s="61"/>
      <c r="BC171" s="87">
        <f t="shared" si="340"/>
        <v>0</v>
      </c>
      <c r="BD171" s="77" t="str">
        <f t="shared" si="341"/>
        <v xml:space="preserve">   </v>
      </c>
      <c r="BE171" s="87">
        <f>IF($A171&gt;BC$191, 0, IF($A171=BC$191, BD171*SUM(BC171:BC$181)*BC$194/BC$195, SUM(BC171:BC$181)*BD171))</f>
        <v>0</v>
      </c>
      <c r="BF171" s="61"/>
      <c r="BG171" s="87">
        <f t="shared" si="342"/>
        <v>0</v>
      </c>
      <c r="BH171" s="77" t="str">
        <f t="shared" si="343"/>
        <v xml:space="preserve">   </v>
      </c>
      <c r="BI171" s="87">
        <f>IF($A171&gt;BG$191, 0, IF($A171=BG$191, BH171*SUM(BG171:BG$181)*BG$194/BG$195, SUM(BG171:BG$181)*BH171))</f>
        <v>0</v>
      </c>
      <c r="BJ171" s="61"/>
      <c r="BK171" s="35">
        <f t="shared" si="364"/>
        <v>0</v>
      </c>
      <c r="BL171" s="35">
        <f t="shared" si="365"/>
        <v>0</v>
      </c>
      <c r="BM171" s="8"/>
      <c r="BN171" s="87">
        <f t="shared" si="344"/>
        <v>0</v>
      </c>
      <c r="BO171" s="77" t="str">
        <f t="shared" si="345"/>
        <v xml:space="preserve">   </v>
      </c>
      <c r="BP171" s="87">
        <f>IF($A171&gt;BN$191, 0, IF($A171=BN$191, BO171*SUM(BN171:BN$181)*BN$194/BN$195, SUM(BN171:BN$181)*BO171))</f>
        <v>0</v>
      </c>
      <c r="BQ171" s="77"/>
      <c r="BR171" s="87"/>
      <c r="BS171" s="77"/>
      <c r="BT171" s="87"/>
      <c r="BU171" s="87"/>
      <c r="BV171" s="35">
        <f t="shared" si="366"/>
        <v>0</v>
      </c>
      <c r="BW171" s="35">
        <f t="shared" si="367"/>
        <v>0</v>
      </c>
      <c r="BX171" s="87"/>
      <c r="BY171" s="87">
        <f t="shared" si="346"/>
        <v>0</v>
      </c>
      <c r="BZ171" s="77" t="str">
        <f t="shared" si="347"/>
        <v xml:space="preserve">   </v>
      </c>
      <c r="CA171" s="87">
        <f>IF($A171&gt;BY$191, 0, IF($A171=BY$191, BZ171*SUM(BY171:BY$181)*BY$194/BY$195, SUM(BY171:BY$181)*BZ171))</f>
        <v>0</v>
      </c>
      <c r="CB171" s="87"/>
      <c r="CC171" s="87">
        <f t="shared" si="348"/>
        <v>0</v>
      </c>
      <c r="CD171" s="77" t="str">
        <f t="shared" si="349"/>
        <v xml:space="preserve">   </v>
      </c>
      <c r="CE171" s="87">
        <f>IF($A171&gt;CC$191, 0, IF($A171=CC$191, CD171*SUM(CC171:CC$181)*CC$194/CC$195, SUM(CC171:CC$181)*CD171))</f>
        <v>0</v>
      </c>
      <c r="CF171" s="87"/>
      <c r="CG171" s="87"/>
      <c r="CH171" s="77"/>
      <c r="CI171" s="87"/>
      <c r="CJ171" s="87"/>
      <c r="CK171" s="87">
        <f t="shared" si="350"/>
        <v>0</v>
      </c>
      <c r="CL171" s="77">
        <f t="shared" si="351"/>
        <v>3.5000000000000003E-2</v>
      </c>
      <c r="CM171" s="87">
        <f>IF($A171&gt;CK$191, 0, IF($A171=CK$191, CL171*SUM(CK171:CK$181)*CK$194/CK$195, SUM(CK171:CK$181)*CL171))</f>
        <v>2625000.0000000005</v>
      </c>
      <c r="CN171" s="87"/>
      <c r="CO171" s="162">
        <f t="shared" si="352"/>
        <v>0</v>
      </c>
      <c r="CP171" s="87">
        <f t="shared" si="353"/>
        <v>2625000.0000000005</v>
      </c>
      <c r="CQ171" s="6"/>
      <c r="CR171" s="87">
        <f t="shared" si="354"/>
        <v>0</v>
      </c>
      <c r="CS171" s="77" t="str">
        <f t="shared" si="355"/>
        <v xml:space="preserve">   </v>
      </c>
      <c r="CT171" s="87">
        <f>IF($A171&gt;CR$191, 0, IF($A171=CR$191, CS171*SUM(CR171:CR$181)*CR$194/CR$195, SUM(CR171:CR$181)*CS171))</f>
        <v>0</v>
      </c>
      <c r="CZ171" s="165">
        <f t="shared" si="356"/>
        <v>0</v>
      </c>
      <c r="DA171" s="165">
        <f t="shared" si="357"/>
        <v>0</v>
      </c>
      <c r="DB171" s="87"/>
      <c r="DC171" s="87">
        <f t="shared" si="358"/>
        <v>0</v>
      </c>
      <c r="DD171" s="77" t="str">
        <f t="shared" si="359"/>
        <v xml:space="preserve">   </v>
      </c>
      <c r="DE171" s="87">
        <f>IF($A171&gt;DC$191, 0, IF($A171=DC$191, DD171*SUM(DC171:DC$181)*DC$194/DC$195, SUM(DC171:DC$181)*DD171))</f>
        <v>0</v>
      </c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W171" s="165">
        <f t="shared" si="368"/>
        <v>0</v>
      </c>
      <c r="DX171" s="165">
        <f t="shared" si="369"/>
        <v>2625000.0000000005</v>
      </c>
      <c r="DY171" s="87"/>
      <c r="DZ171" s="53">
        <f t="shared" si="360"/>
        <v>2050</v>
      </c>
      <c r="EA171" s="35">
        <f t="shared" si="361"/>
        <v>0</v>
      </c>
      <c r="EB171" s="35">
        <f t="shared" si="362"/>
        <v>2625000.0000000005</v>
      </c>
      <c r="ED171" s="181">
        <f t="shared" si="370"/>
        <v>27</v>
      </c>
    </row>
    <row r="172" spans="1:134" s="33" customFormat="1" outlineLevel="1">
      <c r="A172" s="7">
        <f t="shared" si="363"/>
        <v>2051</v>
      </c>
      <c r="B172" s="151">
        <f>Assumptions!B35</f>
        <v>5.3800000000000001E-2</v>
      </c>
      <c r="C172" s="151">
        <f>Assumptions!C35</f>
        <v>5.3800000000000001E-2</v>
      </c>
      <c r="D172" s="151">
        <f>Assumptions!D35</f>
        <v>3.5000000000000003E-2</v>
      </c>
      <c r="E172" s="151">
        <f>Assumptions!E35</f>
        <v>5.2999999999999999E-2</v>
      </c>
      <c r="F172" s="8"/>
      <c r="G172" s="8"/>
      <c r="H172" s="8"/>
      <c r="I172" s="8"/>
      <c r="J172" s="8"/>
      <c r="K172" s="8"/>
      <c r="L172" s="8"/>
      <c r="M172" s="87">
        <f t="shared" si="320"/>
        <v>0</v>
      </c>
      <c r="N172" s="77" t="str">
        <f t="shared" si="321"/>
        <v xml:space="preserve">   </v>
      </c>
      <c r="O172" s="87">
        <f>IF($A172&gt;M$191, 0, IF($A172=M$191, N172*SUM(M172:M$181)*M$194/M$195, SUM(M172:M$181)*N172))</f>
        <v>0</v>
      </c>
      <c r="P172" s="35"/>
      <c r="Q172" s="87">
        <f t="shared" si="322"/>
        <v>0</v>
      </c>
      <c r="R172" s="77" t="str">
        <f t="shared" si="323"/>
        <v xml:space="preserve">   </v>
      </c>
      <c r="S172" s="87">
        <f>IF($A172&gt;Q$191, 0, IF($A172=Q$191, R172*SUM(Q172:Q$181)*Q$194/Q$195, SUM(Q172:Q$181)*R172))</f>
        <v>0</v>
      </c>
      <c r="T172" s="35"/>
      <c r="U172" s="35">
        <f t="shared" si="324"/>
        <v>0</v>
      </c>
      <c r="V172" s="35">
        <f t="shared" si="325"/>
        <v>0</v>
      </c>
      <c r="W172" s="35"/>
      <c r="X172" s="87">
        <f t="shared" si="326"/>
        <v>0</v>
      </c>
      <c r="Y172" s="77" t="str">
        <f t="shared" si="327"/>
        <v xml:space="preserve">   </v>
      </c>
      <c r="Z172" s="87">
        <f>IF($A172&gt;X$191, 0, IF($A172=X$191, Y172*SUM(X172:X$181)*X$194/X$195, SUM(X172:X$181)*Y172))</f>
        <v>0</v>
      </c>
      <c r="AA172" s="87"/>
      <c r="AB172" s="87">
        <f t="shared" si="328"/>
        <v>0</v>
      </c>
      <c r="AC172" s="77" t="str">
        <f t="shared" si="329"/>
        <v xml:space="preserve">   </v>
      </c>
      <c r="AD172" s="87">
        <f>IF($A172&gt;AB$191, 0, IF($A172=AB$191, AC172*SUM(AB172:AB$181)*AB$194/AB$195, SUM(AB172:AB$181)*AC172))</f>
        <v>0</v>
      </c>
      <c r="AE172" s="35"/>
      <c r="AF172" s="87">
        <f t="shared" si="330"/>
        <v>0</v>
      </c>
      <c r="AG172" s="77" t="str">
        <f t="shared" si="331"/>
        <v xml:space="preserve">   </v>
      </c>
      <c r="AH172" s="87">
        <f>IF($A172&gt;AF$191, 0, IF($A172=AF$191, AG172*SUM(AF172:AF$181)*AF$194/AF$195, SUM(AF172:AF$181)*AG172))</f>
        <v>0</v>
      </c>
      <c r="AI172" s="35"/>
      <c r="AJ172" s="87"/>
      <c r="AK172" s="77"/>
      <c r="AL172" s="87"/>
      <c r="AM172" s="35"/>
      <c r="AN172" s="87">
        <f t="shared" si="332"/>
        <v>0</v>
      </c>
      <c r="AO172" s="77" t="str">
        <f t="shared" si="333"/>
        <v xml:space="preserve">   </v>
      </c>
      <c r="AP172" s="87">
        <f>IF($A172&gt;AN$191, 0, IF($A172=AN$191, AO172*SUM(AN172:AN$181)*AN$194/AN$195, SUM(AN172:AN$181)*AO172))</f>
        <v>0</v>
      </c>
      <c r="AQ172" s="35"/>
      <c r="AR172" s="87">
        <f t="shared" si="334"/>
        <v>0</v>
      </c>
      <c r="AS172" s="77" t="str">
        <f t="shared" si="335"/>
        <v xml:space="preserve">   </v>
      </c>
      <c r="AT172" s="87">
        <f>IF($A172&gt;AR$191, 0, IF($A172=AR$191, AS172*SUM(AR172:AR$181)*AR$194/AR$195, SUM(AR172:AR$181)*AS172))</f>
        <v>0</v>
      </c>
      <c r="AV172" s="35">
        <f t="shared" si="336"/>
        <v>0</v>
      </c>
      <c r="AW172" s="35">
        <f t="shared" si="337"/>
        <v>0</v>
      </c>
      <c r="AX172" s="35"/>
      <c r="AY172" s="87">
        <f t="shared" si="338"/>
        <v>0</v>
      </c>
      <c r="AZ172" s="77" t="str">
        <f t="shared" si="339"/>
        <v xml:space="preserve">   </v>
      </c>
      <c r="BA172" s="87">
        <f>IF($A172&gt;AY$191, 0, IF($A172=AY$191, AZ172*SUM(AY172:AY$181)*AY$194/AY$195, SUM(AY172:AY$181)*AZ172))</f>
        <v>0</v>
      </c>
      <c r="BB172" s="61"/>
      <c r="BC172" s="87">
        <f t="shared" si="340"/>
        <v>0</v>
      </c>
      <c r="BD172" s="77" t="str">
        <f t="shared" si="341"/>
        <v xml:space="preserve">   </v>
      </c>
      <c r="BE172" s="87">
        <f>IF($A172&gt;BC$191, 0, IF($A172=BC$191, BD172*SUM(BC172:BC$181)*BC$194/BC$195, SUM(BC172:BC$181)*BD172))</f>
        <v>0</v>
      </c>
      <c r="BF172" s="61"/>
      <c r="BG172" s="87">
        <f t="shared" si="342"/>
        <v>0</v>
      </c>
      <c r="BH172" s="77" t="str">
        <f t="shared" si="343"/>
        <v xml:space="preserve">   </v>
      </c>
      <c r="BI172" s="87">
        <f>IF($A172&gt;BG$191, 0, IF($A172=BG$191, BH172*SUM(BG172:BG$181)*BG$194/BG$195, SUM(BG172:BG$181)*BH172))</f>
        <v>0</v>
      </c>
      <c r="BJ172" s="61"/>
      <c r="BK172" s="35">
        <f t="shared" si="364"/>
        <v>0</v>
      </c>
      <c r="BL172" s="35">
        <f t="shared" si="365"/>
        <v>0</v>
      </c>
      <c r="BM172" s="8"/>
      <c r="BN172" s="87">
        <f t="shared" si="344"/>
        <v>0</v>
      </c>
      <c r="BO172" s="77" t="str">
        <f t="shared" si="345"/>
        <v xml:space="preserve">   </v>
      </c>
      <c r="BP172" s="87">
        <f>IF($A172&gt;BN$191, 0, IF($A172=BN$191, BO172*SUM(BN172:BN$181)*BN$194/BN$195, SUM(BN172:BN$181)*BO172))</f>
        <v>0</v>
      </c>
      <c r="BQ172" s="77"/>
      <c r="BR172" s="87"/>
      <c r="BS172" s="77"/>
      <c r="BT172" s="87"/>
      <c r="BU172" s="87"/>
      <c r="BV172" s="35">
        <f t="shared" si="366"/>
        <v>0</v>
      </c>
      <c r="BW172" s="35">
        <f t="shared" si="367"/>
        <v>0</v>
      </c>
      <c r="BX172" s="87"/>
      <c r="BY172" s="87">
        <f t="shared" si="346"/>
        <v>0</v>
      </c>
      <c r="BZ172" s="77" t="str">
        <f t="shared" si="347"/>
        <v xml:space="preserve">   </v>
      </c>
      <c r="CA172" s="87">
        <f>IF($A172&gt;BY$191, 0, IF($A172=BY$191, BZ172*SUM(BY172:BY$181)*BY$194/BY$195, SUM(BY172:BY$181)*BZ172))</f>
        <v>0</v>
      </c>
      <c r="CB172" s="87"/>
      <c r="CC172" s="87">
        <f t="shared" si="348"/>
        <v>0</v>
      </c>
      <c r="CD172" s="77" t="str">
        <f t="shared" si="349"/>
        <v xml:space="preserve">   </v>
      </c>
      <c r="CE172" s="87">
        <f>IF($A172&gt;CC$191, 0, IF($A172=CC$191, CD172*SUM(CC172:CC$181)*CC$194/CC$195, SUM(CC172:CC$181)*CD172))</f>
        <v>0</v>
      </c>
      <c r="CF172" s="87"/>
      <c r="CG172" s="87"/>
      <c r="CH172" s="77"/>
      <c r="CI172" s="87"/>
      <c r="CJ172" s="87"/>
      <c r="CK172" s="87">
        <f t="shared" si="350"/>
        <v>0</v>
      </c>
      <c r="CL172" s="77">
        <f t="shared" si="351"/>
        <v>3.5000000000000003E-2</v>
      </c>
      <c r="CM172" s="87">
        <f>IF($A172&gt;CK$191, 0, IF($A172=CK$191, CL172*SUM(CK172:CK$181)*CK$194/CK$195, SUM(CK172:CK$181)*CL172))</f>
        <v>2625000.0000000005</v>
      </c>
      <c r="CN172" s="87"/>
      <c r="CO172" s="162">
        <f t="shared" si="352"/>
        <v>0</v>
      </c>
      <c r="CP172" s="87">
        <f t="shared" si="353"/>
        <v>2625000.0000000005</v>
      </c>
      <c r="CQ172" s="6"/>
      <c r="CR172" s="87">
        <f t="shared" si="354"/>
        <v>0</v>
      </c>
      <c r="CS172" s="77" t="str">
        <f t="shared" si="355"/>
        <v xml:space="preserve">   </v>
      </c>
      <c r="CT172" s="87">
        <f>IF($A172&gt;CR$191, 0, IF($A172=CR$191, CS172*SUM(CR172:CR$181)*CR$194/CR$195, SUM(CR172:CR$181)*CS172))</f>
        <v>0</v>
      </c>
      <c r="CZ172" s="165">
        <f t="shared" si="356"/>
        <v>0</v>
      </c>
      <c r="DA172" s="165">
        <f t="shared" si="357"/>
        <v>0</v>
      </c>
      <c r="DB172" s="87"/>
      <c r="DC172" s="87">
        <f t="shared" si="358"/>
        <v>0</v>
      </c>
      <c r="DD172" s="77" t="str">
        <f t="shared" si="359"/>
        <v xml:space="preserve">   </v>
      </c>
      <c r="DE172" s="87">
        <f>IF($A172&gt;DC$191, 0, IF($A172=DC$191, DD172*SUM(DC172:DC$181)*DC$194/DC$195, SUM(DC172:DC$181)*DD172))</f>
        <v>0</v>
      </c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W172" s="165">
        <f t="shared" si="368"/>
        <v>0</v>
      </c>
      <c r="DX172" s="165">
        <f t="shared" si="369"/>
        <v>2625000.0000000005</v>
      </c>
      <c r="DY172" s="87"/>
      <c r="DZ172" s="53">
        <f t="shared" si="360"/>
        <v>2051</v>
      </c>
      <c r="EA172" s="35">
        <f t="shared" si="361"/>
        <v>0</v>
      </c>
      <c r="EB172" s="35">
        <f t="shared" si="362"/>
        <v>2625000.0000000005</v>
      </c>
      <c r="ED172" s="181">
        <f t="shared" si="370"/>
        <v>28</v>
      </c>
    </row>
    <row r="173" spans="1:134" s="33" customFormat="1" outlineLevel="1">
      <c r="A173" s="7">
        <f t="shared" si="363"/>
        <v>2052</v>
      </c>
      <c r="B173" s="151">
        <f>Assumptions!B36</f>
        <v>5.3800000000000001E-2</v>
      </c>
      <c r="C173" s="151">
        <f>Assumptions!C36</f>
        <v>5.3800000000000001E-2</v>
      </c>
      <c r="D173" s="151">
        <f>Assumptions!D36</f>
        <v>3.5000000000000003E-2</v>
      </c>
      <c r="E173" s="151">
        <f>Assumptions!E36</f>
        <v>5.2999999999999999E-2</v>
      </c>
      <c r="F173" s="8"/>
      <c r="G173" s="8"/>
      <c r="H173" s="8"/>
      <c r="I173" s="8"/>
      <c r="J173" s="8"/>
      <c r="K173" s="8"/>
      <c r="L173" s="8"/>
      <c r="M173" s="87">
        <f t="shared" si="320"/>
        <v>0</v>
      </c>
      <c r="N173" s="77" t="str">
        <f t="shared" si="321"/>
        <v xml:space="preserve">   </v>
      </c>
      <c r="O173" s="87">
        <f>IF($A173&gt;M$191, 0, IF($A173=M$191, N173*SUM(M173:M$181)*M$194/M$195, SUM(M173:M$181)*N173))</f>
        <v>0</v>
      </c>
      <c r="P173" s="35"/>
      <c r="Q173" s="87">
        <f t="shared" si="322"/>
        <v>0</v>
      </c>
      <c r="R173" s="77" t="str">
        <f t="shared" si="323"/>
        <v xml:space="preserve">   </v>
      </c>
      <c r="S173" s="87">
        <f>IF($A173&gt;Q$191, 0, IF($A173=Q$191, R173*SUM(Q173:Q$181)*Q$194/Q$195, SUM(Q173:Q$181)*R173))</f>
        <v>0</v>
      </c>
      <c r="T173" s="35"/>
      <c r="U173" s="35">
        <f t="shared" si="324"/>
        <v>0</v>
      </c>
      <c r="V173" s="35">
        <f t="shared" si="325"/>
        <v>0</v>
      </c>
      <c r="W173" s="35"/>
      <c r="X173" s="87">
        <f t="shared" si="326"/>
        <v>0</v>
      </c>
      <c r="Y173" s="77" t="str">
        <f t="shared" si="327"/>
        <v xml:space="preserve">   </v>
      </c>
      <c r="Z173" s="87">
        <f>IF($A173&gt;X$191, 0, IF($A173=X$191, Y173*SUM(X173:X$181)*X$194/X$195, SUM(X173:X$181)*Y173))</f>
        <v>0</v>
      </c>
      <c r="AA173" s="87"/>
      <c r="AB173" s="87">
        <f t="shared" si="328"/>
        <v>0</v>
      </c>
      <c r="AC173" s="77" t="str">
        <f t="shared" si="329"/>
        <v xml:space="preserve">   </v>
      </c>
      <c r="AD173" s="87">
        <f>IF($A173&gt;AB$191, 0, IF($A173=AB$191, AC173*SUM(AB173:AB$181)*AB$194/AB$195, SUM(AB173:AB$181)*AC173))</f>
        <v>0</v>
      </c>
      <c r="AE173" s="35"/>
      <c r="AF173" s="87">
        <f t="shared" si="330"/>
        <v>0</v>
      </c>
      <c r="AG173" s="77" t="str">
        <f t="shared" si="331"/>
        <v xml:space="preserve">   </v>
      </c>
      <c r="AH173" s="87">
        <f>IF($A173&gt;AF$191, 0, IF($A173=AF$191, AG173*SUM(AF173:AF$181)*AF$194/AF$195, SUM(AF173:AF$181)*AG173))</f>
        <v>0</v>
      </c>
      <c r="AI173" s="35"/>
      <c r="AJ173" s="87"/>
      <c r="AK173" s="77"/>
      <c r="AL173" s="87"/>
      <c r="AM173" s="35"/>
      <c r="AN173" s="87">
        <f t="shared" si="332"/>
        <v>0</v>
      </c>
      <c r="AO173" s="77" t="str">
        <f t="shared" si="333"/>
        <v xml:space="preserve">   </v>
      </c>
      <c r="AP173" s="87">
        <f>IF($A173&gt;AN$191, 0, IF($A173=AN$191, AO173*SUM(AN173:AN$181)*AN$194/AN$195, SUM(AN173:AN$181)*AO173))</f>
        <v>0</v>
      </c>
      <c r="AQ173" s="35"/>
      <c r="AR173" s="87">
        <f t="shared" si="334"/>
        <v>0</v>
      </c>
      <c r="AS173" s="77" t="str">
        <f t="shared" si="335"/>
        <v xml:space="preserve">   </v>
      </c>
      <c r="AT173" s="87">
        <f>IF($A173&gt;AR$191, 0, IF($A173=AR$191, AS173*SUM(AR173:AR$181)*AR$194/AR$195, SUM(AR173:AR$181)*AS173))</f>
        <v>0</v>
      </c>
      <c r="AV173" s="35">
        <f t="shared" si="336"/>
        <v>0</v>
      </c>
      <c r="AW173" s="35">
        <f t="shared" si="337"/>
        <v>0</v>
      </c>
      <c r="AX173" s="35"/>
      <c r="AY173" s="87">
        <f t="shared" si="338"/>
        <v>0</v>
      </c>
      <c r="AZ173" s="77" t="str">
        <f t="shared" si="339"/>
        <v xml:space="preserve">   </v>
      </c>
      <c r="BA173" s="87">
        <f>IF($A173&gt;AY$191, 0, IF($A173=AY$191, AZ173*SUM(AY173:AY$181)*AY$194/AY$195, SUM(AY173:AY$181)*AZ173))</f>
        <v>0</v>
      </c>
      <c r="BB173" s="61"/>
      <c r="BC173" s="87">
        <f t="shared" si="340"/>
        <v>0</v>
      </c>
      <c r="BD173" s="77" t="str">
        <f t="shared" si="341"/>
        <v xml:space="preserve">   </v>
      </c>
      <c r="BE173" s="87">
        <f>IF($A173&gt;BC$191, 0, IF($A173=BC$191, BD173*SUM(BC173:BC$181)*BC$194/BC$195, SUM(BC173:BC$181)*BD173))</f>
        <v>0</v>
      </c>
      <c r="BF173" s="61"/>
      <c r="BG173" s="87">
        <f t="shared" si="342"/>
        <v>0</v>
      </c>
      <c r="BH173" s="77" t="str">
        <f t="shared" si="343"/>
        <v xml:space="preserve">   </v>
      </c>
      <c r="BI173" s="87">
        <f>IF($A173&gt;BG$191, 0, IF($A173=BG$191, BH173*SUM(BG173:BG$181)*BG$194/BG$195, SUM(BG173:BG$181)*BH173))</f>
        <v>0</v>
      </c>
      <c r="BJ173" s="61"/>
      <c r="BK173" s="35">
        <f t="shared" si="364"/>
        <v>0</v>
      </c>
      <c r="BL173" s="35">
        <f t="shared" si="365"/>
        <v>0</v>
      </c>
      <c r="BM173" s="8"/>
      <c r="BN173" s="87">
        <f t="shared" si="344"/>
        <v>0</v>
      </c>
      <c r="BO173" s="77" t="str">
        <f t="shared" si="345"/>
        <v xml:space="preserve">   </v>
      </c>
      <c r="BP173" s="87">
        <f>IF($A173&gt;BN$191, 0, IF($A173=BN$191, BO173*SUM(BN173:BN$181)*BN$194/BN$195, SUM(BN173:BN$181)*BO173))</f>
        <v>0</v>
      </c>
      <c r="BQ173" s="77"/>
      <c r="BR173" s="87"/>
      <c r="BS173" s="77"/>
      <c r="BT173" s="87"/>
      <c r="BU173" s="87"/>
      <c r="BV173" s="35">
        <f t="shared" si="366"/>
        <v>0</v>
      </c>
      <c r="BW173" s="35">
        <f t="shared" si="367"/>
        <v>0</v>
      </c>
      <c r="BX173" s="87"/>
      <c r="BY173" s="87">
        <f t="shared" si="346"/>
        <v>0</v>
      </c>
      <c r="BZ173" s="77" t="str">
        <f t="shared" si="347"/>
        <v xml:space="preserve">   </v>
      </c>
      <c r="CA173" s="87">
        <f>IF($A173&gt;BY$191, 0, IF($A173=BY$191, BZ173*SUM(BY173:BY$181)*BY$194/BY$195, SUM(BY173:BY$181)*BZ173))</f>
        <v>0</v>
      </c>
      <c r="CB173" s="87"/>
      <c r="CC173" s="87">
        <f t="shared" si="348"/>
        <v>0</v>
      </c>
      <c r="CD173" s="77" t="str">
        <f t="shared" si="349"/>
        <v xml:space="preserve">   </v>
      </c>
      <c r="CE173" s="87">
        <f>IF($A173&gt;CC$191, 0, IF($A173=CC$191, CD173*SUM(CC173:CC$181)*CC$194/CC$195, SUM(CC173:CC$181)*CD173))</f>
        <v>0</v>
      </c>
      <c r="CF173" s="87"/>
      <c r="CG173" s="87"/>
      <c r="CH173" s="77"/>
      <c r="CI173" s="87"/>
      <c r="CJ173" s="87"/>
      <c r="CK173" s="87">
        <f t="shared" si="350"/>
        <v>0</v>
      </c>
      <c r="CL173" s="77">
        <f t="shared" si="351"/>
        <v>3.5000000000000003E-2</v>
      </c>
      <c r="CM173" s="87">
        <f>IF($A173&gt;CK$191, 0, IF($A173=CK$191, CL173*SUM(CK173:CK$181)*CK$194/CK$195, SUM(CK173:CK$181)*CL173))</f>
        <v>2625000.0000000005</v>
      </c>
      <c r="CN173" s="87"/>
      <c r="CO173" s="162">
        <f t="shared" si="352"/>
        <v>0</v>
      </c>
      <c r="CP173" s="87">
        <f t="shared" si="353"/>
        <v>2625000.0000000005</v>
      </c>
      <c r="CQ173" s="6"/>
      <c r="CR173" s="87">
        <f t="shared" si="354"/>
        <v>0</v>
      </c>
      <c r="CS173" s="77" t="str">
        <f t="shared" si="355"/>
        <v xml:space="preserve">   </v>
      </c>
      <c r="CT173" s="87">
        <f>IF($A173&gt;CR$191, 0, IF($A173=CR$191, CS173*SUM(CR173:CR$181)*CR$194/CR$195, SUM(CR173:CR$181)*CS173))</f>
        <v>0</v>
      </c>
      <c r="CZ173" s="165">
        <f t="shared" si="356"/>
        <v>0</v>
      </c>
      <c r="DA173" s="165">
        <f t="shared" si="357"/>
        <v>0</v>
      </c>
      <c r="DB173" s="87"/>
      <c r="DC173" s="87">
        <f t="shared" si="358"/>
        <v>0</v>
      </c>
      <c r="DD173" s="77" t="str">
        <f t="shared" si="359"/>
        <v xml:space="preserve">   </v>
      </c>
      <c r="DE173" s="87">
        <f>IF($A173&gt;DC$191, 0, IF($A173=DC$191, DD173*SUM(DC173:DC$181)*DC$194/DC$195, SUM(DC173:DC$181)*DD173))</f>
        <v>0</v>
      </c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W173" s="165">
        <f t="shared" si="368"/>
        <v>0</v>
      </c>
      <c r="DX173" s="165">
        <f t="shared" si="369"/>
        <v>2625000.0000000005</v>
      </c>
      <c r="DY173" s="87"/>
      <c r="DZ173" s="53">
        <f t="shared" si="360"/>
        <v>2052</v>
      </c>
      <c r="EA173" s="35">
        <f t="shared" si="361"/>
        <v>0</v>
      </c>
      <c r="EB173" s="35">
        <f t="shared" si="362"/>
        <v>2625000.0000000005</v>
      </c>
      <c r="ED173" s="181">
        <f t="shared" si="370"/>
        <v>29</v>
      </c>
    </row>
    <row r="174" spans="1:134" s="33" customFormat="1" outlineLevel="1">
      <c r="A174" s="7">
        <f t="shared" si="363"/>
        <v>2053</v>
      </c>
      <c r="B174" s="151">
        <f>Assumptions!B37</f>
        <v>5.3800000000000001E-2</v>
      </c>
      <c r="C174" s="151">
        <f>Assumptions!C37</f>
        <v>5.3800000000000001E-2</v>
      </c>
      <c r="D174" s="151">
        <f>Assumptions!D37</f>
        <v>3.5000000000000003E-2</v>
      </c>
      <c r="E174" s="151">
        <f>Assumptions!E37</f>
        <v>5.2999999999999999E-2</v>
      </c>
      <c r="F174" s="8"/>
      <c r="G174" s="8"/>
      <c r="H174" s="8"/>
      <c r="I174" s="8"/>
      <c r="J174" s="8"/>
      <c r="K174" s="8"/>
      <c r="L174" s="8"/>
      <c r="M174" s="87">
        <f t="shared" si="320"/>
        <v>0</v>
      </c>
      <c r="N174" s="77" t="str">
        <f t="shared" si="321"/>
        <v xml:space="preserve">   </v>
      </c>
      <c r="O174" s="87">
        <f>IF($A174&gt;M$191, 0, IF($A174=M$191, N174*SUM(M174:M$181)*M$194/M$195, SUM(M174:M$181)*N174))</f>
        <v>0</v>
      </c>
      <c r="P174" s="35"/>
      <c r="Q174" s="87">
        <f t="shared" si="322"/>
        <v>0</v>
      </c>
      <c r="R174" s="77" t="str">
        <f t="shared" si="323"/>
        <v xml:space="preserve">   </v>
      </c>
      <c r="S174" s="87">
        <f>IF($A174&gt;Q$191, 0, IF($A174=Q$191, R174*SUM(Q174:Q$181)*Q$194/Q$195, SUM(Q174:Q$181)*R174))</f>
        <v>0</v>
      </c>
      <c r="T174" s="35"/>
      <c r="U174" s="35">
        <f t="shared" si="324"/>
        <v>0</v>
      </c>
      <c r="V174" s="35">
        <f t="shared" si="325"/>
        <v>0</v>
      </c>
      <c r="W174" s="35"/>
      <c r="X174" s="87">
        <f t="shared" si="326"/>
        <v>0</v>
      </c>
      <c r="Y174" s="77" t="str">
        <f t="shared" si="327"/>
        <v xml:space="preserve">   </v>
      </c>
      <c r="Z174" s="87">
        <f>IF($A174&gt;X$191, 0, IF($A174=X$191, Y174*SUM(X174:X$181)*X$194/X$195, SUM(X174:X$181)*Y174))</f>
        <v>0</v>
      </c>
      <c r="AA174" s="87"/>
      <c r="AB174" s="87">
        <f t="shared" si="328"/>
        <v>0</v>
      </c>
      <c r="AC174" s="77" t="str">
        <f t="shared" si="329"/>
        <v xml:space="preserve">   </v>
      </c>
      <c r="AD174" s="87">
        <f>IF($A174&gt;AB$191, 0, IF($A174=AB$191, AC174*SUM(AB174:AB$181)*AB$194/AB$195, SUM(AB174:AB$181)*AC174))</f>
        <v>0</v>
      </c>
      <c r="AE174" s="35"/>
      <c r="AF174" s="87">
        <f t="shared" si="330"/>
        <v>0</v>
      </c>
      <c r="AG174" s="77" t="str">
        <f t="shared" si="331"/>
        <v xml:space="preserve">   </v>
      </c>
      <c r="AH174" s="87">
        <f>IF($A174&gt;AF$191, 0, IF($A174=AF$191, AG174*SUM(AF174:AF$181)*AF$194/AF$195, SUM(AF174:AF$181)*AG174))</f>
        <v>0</v>
      </c>
      <c r="AI174" s="35"/>
      <c r="AJ174" s="87"/>
      <c r="AK174" s="77"/>
      <c r="AL174" s="87"/>
      <c r="AM174" s="35"/>
      <c r="AN174" s="87">
        <f t="shared" si="332"/>
        <v>0</v>
      </c>
      <c r="AO174" s="77" t="str">
        <f t="shared" si="333"/>
        <v xml:space="preserve">   </v>
      </c>
      <c r="AP174" s="87">
        <f>IF($A174&gt;AN$191, 0, IF($A174=AN$191, AO174*SUM(AN174:AN$181)*AN$194/AN$195, SUM(AN174:AN$181)*AO174))</f>
        <v>0</v>
      </c>
      <c r="AQ174" s="35"/>
      <c r="AR174" s="87">
        <f t="shared" si="334"/>
        <v>0</v>
      </c>
      <c r="AS174" s="77" t="str">
        <f t="shared" si="335"/>
        <v xml:space="preserve">   </v>
      </c>
      <c r="AT174" s="87">
        <f>IF($A174&gt;AR$191, 0, IF($A174=AR$191, AS174*SUM(AR174:AR$181)*AR$194/AR$195, SUM(AR174:AR$181)*AS174))</f>
        <v>0</v>
      </c>
      <c r="AV174" s="35">
        <f t="shared" si="336"/>
        <v>0</v>
      </c>
      <c r="AW174" s="35">
        <f t="shared" si="337"/>
        <v>0</v>
      </c>
      <c r="AX174" s="35"/>
      <c r="AY174" s="87">
        <f t="shared" si="338"/>
        <v>0</v>
      </c>
      <c r="AZ174" s="77" t="str">
        <f t="shared" si="339"/>
        <v xml:space="preserve">   </v>
      </c>
      <c r="BA174" s="87">
        <f>IF($A174&gt;AY$191, 0, IF($A174=AY$191, AZ174*SUM(AY174:AY$181)*AY$194/AY$195, SUM(AY174:AY$181)*AZ174))</f>
        <v>0</v>
      </c>
      <c r="BB174" s="61"/>
      <c r="BC174" s="87">
        <f t="shared" si="340"/>
        <v>0</v>
      </c>
      <c r="BD174" s="77" t="str">
        <f t="shared" si="341"/>
        <v xml:space="preserve">   </v>
      </c>
      <c r="BE174" s="87">
        <f>IF($A174&gt;BC$191, 0, IF($A174=BC$191, BD174*SUM(BC174:BC$181)*BC$194/BC$195, SUM(BC174:BC$181)*BD174))</f>
        <v>0</v>
      </c>
      <c r="BF174" s="61"/>
      <c r="BG174" s="87">
        <f t="shared" si="342"/>
        <v>0</v>
      </c>
      <c r="BH174" s="77" t="str">
        <f t="shared" si="343"/>
        <v xml:space="preserve">   </v>
      </c>
      <c r="BI174" s="87">
        <f>IF($A174&gt;BG$191, 0, IF($A174=BG$191, BH174*SUM(BG174:BG$181)*BG$194/BG$195, SUM(BG174:BG$181)*BH174))</f>
        <v>0</v>
      </c>
      <c r="BJ174" s="61"/>
      <c r="BK174" s="35">
        <f t="shared" si="364"/>
        <v>0</v>
      </c>
      <c r="BL174" s="35">
        <f t="shared" si="365"/>
        <v>0</v>
      </c>
      <c r="BM174" s="8"/>
      <c r="BN174" s="87">
        <f t="shared" si="344"/>
        <v>0</v>
      </c>
      <c r="BO174" s="77" t="str">
        <f t="shared" si="345"/>
        <v xml:space="preserve">   </v>
      </c>
      <c r="BP174" s="87">
        <f>IF($A174&gt;BN$191, 0, IF($A174=BN$191, BO174*SUM(BN174:BN$181)*BN$194/BN$195, SUM(BN174:BN$181)*BO174))</f>
        <v>0</v>
      </c>
      <c r="BQ174" s="77"/>
      <c r="BR174" s="87"/>
      <c r="BS174" s="77"/>
      <c r="BT174" s="87"/>
      <c r="BU174" s="87"/>
      <c r="BV174" s="35">
        <f t="shared" si="366"/>
        <v>0</v>
      </c>
      <c r="BW174" s="35">
        <f t="shared" si="367"/>
        <v>0</v>
      </c>
      <c r="BX174" s="87"/>
      <c r="BY174" s="87">
        <f t="shared" si="346"/>
        <v>0</v>
      </c>
      <c r="BZ174" s="77" t="str">
        <f t="shared" si="347"/>
        <v xml:space="preserve">   </v>
      </c>
      <c r="CA174" s="87">
        <f>IF($A174&gt;BY$191, 0, IF($A174=BY$191, BZ174*SUM(BY174:BY$181)*BY$194/BY$195, SUM(BY174:BY$181)*BZ174))</f>
        <v>0</v>
      </c>
      <c r="CB174" s="87"/>
      <c r="CC174" s="87">
        <f t="shared" si="348"/>
        <v>0</v>
      </c>
      <c r="CD174" s="77" t="str">
        <f t="shared" si="349"/>
        <v xml:space="preserve">   </v>
      </c>
      <c r="CE174" s="87">
        <f>IF($A174&gt;CC$191, 0, IF($A174=CC$191, CD174*SUM(CC174:CC$181)*CC$194/CC$195, SUM(CC174:CC$181)*CD174))</f>
        <v>0</v>
      </c>
      <c r="CF174" s="87"/>
      <c r="CG174" s="87"/>
      <c r="CH174" s="77"/>
      <c r="CI174" s="87"/>
      <c r="CJ174" s="87"/>
      <c r="CK174" s="87">
        <f t="shared" si="350"/>
        <v>0</v>
      </c>
      <c r="CL174" s="77">
        <f t="shared" si="351"/>
        <v>3.5000000000000003E-2</v>
      </c>
      <c r="CM174" s="87">
        <f>IF($A174&gt;CK$191, 0, IF($A174=CK$191, CL174*SUM(CK174:CK$181)*CK$194/CK$195, SUM(CK174:CK$181)*CL174))</f>
        <v>2625000.0000000005</v>
      </c>
      <c r="CN174" s="87"/>
      <c r="CO174" s="162">
        <f t="shared" si="352"/>
        <v>0</v>
      </c>
      <c r="CP174" s="87">
        <f t="shared" si="353"/>
        <v>2625000.0000000005</v>
      </c>
      <c r="CQ174" s="6"/>
      <c r="CR174" s="87">
        <f t="shared" si="354"/>
        <v>0</v>
      </c>
      <c r="CS174" s="77" t="str">
        <f t="shared" si="355"/>
        <v xml:space="preserve">   </v>
      </c>
      <c r="CT174" s="87">
        <f>IF($A174&gt;CR$191, 0, IF($A174=CR$191, CS174*SUM(CR174:CR$181)*CR$194/CR$195, SUM(CR174:CR$181)*CS174))</f>
        <v>0</v>
      </c>
      <c r="CZ174" s="165">
        <f t="shared" si="356"/>
        <v>0</v>
      </c>
      <c r="DA174" s="165">
        <f t="shared" si="357"/>
        <v>0</v>
      </c>
      <c r="DB174" s="87"/>
      <c r="DC174" s="87">
        <f t="shared" si="358"/>
        <v>0</v>
      </c>
      <c r="DD174" s="77" t="str">
        <f t="shared" si="359"/>
        <v xml:space="preserve">   </v>
      </c>
      <c r="DE174" s="87">
        <f>IF($A174&gt;DC$191, 0, IF($A174=DC$191, DD174*SUM(DC174:DC$181)*DC$194/DC$195, SUM(DC174:DC$181)*DD174))</f>
        <v>0</v>
      </c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W174" s="165">
        <f t="shared" si="368"/>
        <v>0</v>
      </c>
      <c r="DX174" s="165">
        <f t="shared" si="369"/>
        <v>2625000.0000000005</v>
      </c>
      <c r="DY174" s="87"/>
      <c r="DZ174" s="53">
        <f t="shared" si="360"/>
        <v>2053</v>
      </c>
      <c r="EA174" s="35">
        <f t="shared" si="361"/>
        <v>0</v>
      </c>
      <c r="EB174" s="35">
        <f t="shared" si="362"/>
        <v>2625000.0000000005</v>
      </c>
      <c r="ED174" s="181">
        <f t="shared" si="370"/>
        <v>30</v>
      </c>
    </row>
    <row r="175" spans="1:134" s="33" customFormat="1" outlineLevel="1">
      <c r="A175" s="7">
        <f t="shared" si="363"/>
        <v>2054</v>
      </c>
      <c r="B175" s="151">
        <f>Assumptions!B38</f>
        <v>5.3800000000000001E-2</v>
      </c>
      <c r="C175" s="151">
        <f>Assumptions!C38</f>
        <v>5.3800000000000001E-2</v>
      </c>
      <c r="D175" s="151">
        <f>Assumptions!D38</f>
        <v>3.5000000000000003E-2</v>
      </c>
      <c r="E175" s="151">
        <f>Assumptions!E38</f>
        <v>5.2999999999999999E-2</v>
      </c>
      <c r="F175" s="8"/>
      <c r="G175" s="8"/>
      <c r="H175" s="8"/>
      <c r="I175" s="8"/>
      <c r="J175" s="8"/>
      <c r="K175" s="8"/>
      <c r="L175" s="8"/>
      <c r="M175" s="87">
        <f t="shared" si="320"/>
        <v>0</v>
      </c>
      <c r="N175" s="77" t="str">
        <f t="shared" si="321"/>
        <v xml:space="preserve">   </v>
      </c>
      <c r="O175" s="87">
        <f>IF($A175&gt;M$191, 0, IF($A175=M$191, N175*SUM(M175:M$181)*M$194/M$195, SUM(M175:M$181)*N175))</f>
        <v>0</v>
      </c>
      <c r="P175" s="35"/>
      <c r="Q175" s="87">
        <f t="shared" si="322"/>
        <v>0</v>
      </c>
      <c r="R175" s="77" t="str">
        <f t="shared" si="323"/>
        <v xml:space="preserve">   </v>
      </c>
      <c r="S175" s="87">
        <f>IF($A175&gt;Q$191, 0, IF($A175=Q$191, R175*SUM(Q175:Q$181)*Q$194/Q$195, SUM(Q175:Q$181)*R175))</f>
        <v>0</v>
      </c>
      <c r="T175" s="35"/>
      <c r="U175" s="35">
        <f t="shared" si="324"/>
        <v>0</v>
      </c>
      <c r="V175" s="35">
        <f t="shared" si="325"/>
        <v>0</v>
      </c>
      <c r="W175" s="35"/>
      <c r="X175" s="87">
        <f t="shared" si="326"/>
        <v>0</v>
      </c>
      <c r="Y175" s="77" t="str">
        <f t="shared" si="327"/>
        <v xml:space="preserve">   </v>
      </c>
      <c r="Z175" s="87">
        <f>IF($A175&gt;X$191, 0, IF($A175=X$191, Y175*SUM(X175:X$181)*X$194/X$195, SUM(X175:X$181)*Y175))</f>
        <v>0</v>
      </c>
      <c r="AA175" s="87"/>
      <c r="AB175" s="87">
        <f t="shared" si="328"/>
        <v>0</v>
      </c>
      <c r="AC175" s="77" t="str">
        <f t="shared" si="329"/>
        <v xml:space="preserve">   </v>
      </c>
      <c r="AD175" s="87">
        <f>IF($A175&gt;AB$191, 0, IF($A175=AB$191, AC175*SUM(AB175:AB$181)*AB$194/AB$195, SUM(AB175:AB$181)*AC175))</f>
        <v>0</v>
      </c>
      <c r="AE175" s="35"/>
      <c r="AF175" s="87">
        <f t="shared" si="330"/>
        <v>0</v>
      </c>
      <c r="AG175" s="77" t="str">
        <f t="shared" si="331"/>
        <v xml:space="preserve">   </v>
      </c>
      <c r="AH175" s="87">
        <f>IF($A175&gt;AF$191, 0, IF($A175=AF$191, AG175*SUM(AF175:AF$181)*AF$194/AF$195, SUM(AF175:AF$181)*AG175))</f>
        <v>0</v>
      </c>
      <c r="AI175" s="35"/>
      <c r="AJ175" s="87"/>
      <c r="AK175" s="77"/>
      <c r="AL175" s="87"/>
      <c r="AM175" s="35"/>
      <c r="AN175" s="87">
        <f t="shared" si="332"/>
        <v>0</v>
      </c>
      <c r="AO175" s="77" t="str">
        <f t="shared" si="333"/>
        <v xml:space="preserve">   </v>
      </c>
      <c r="AP175" s="87">
        <f>IF($A175&gt;AN$191, 0, IF($A175=AN$191, AO175*SUM(AN175:AN$181)*AN$194/AN$195, SUM(AN175:AN$181)*AO175))</f>
        <v>0</v>
      </c>
      <c r="AQ175" s="35"/>
      <c r="AR175" s="87">
        <f t="shared" si="334"/>
        <v>0</v>
      </c>
      <c r="AS175" s="77" t="str">
        <f t="shared" si="335"/>
        <v xml:space="preserve">   </v>
      </c>
      <c r="AT175" s="87">
        <f>IF($A175&gt;AR$191, 0, IF($A175=AR$191, AS175*SUM(AR175:AR$181)*AR$194/AR$195, SUM(AR175:AR$181)*AS175))</f>
        <v>0</v>
      </c>
      <c r="AV175" s="35">
        <f t="shared" si="336"/>
        <v>0</v>
      </c>
      <c r="AW175" s="35">
        <f t="shared" si="337"/>
        <v>0</v>
      </c>
      <c r="AX175" s="35"/>
      <c r="AY175" s="87">
        <f t="shared" si="338"/>
        <v>0</v>
      </c>
      <c r="AZ175" s="77" t="str">
        <f t="shared" si="339"/>
        <v xml:space="preserve">   </v>
      </c>
      <c r="BA175" s="87">
        <f>IF($A175&gt;AY$191, 0, IF($A175=AY$191, AZ175*SUM(AY175:AY$181)*AY$194/AY$195, SUM(AY175:AY$181)*AZ175))</f>
        <v>0</v>
      </c>
      <c r="BB175" s="61"/>
      <c r="BC175" s="87">
        <f t="shared" si="340"/>
        <v>0</v>
      </c>
      <c r="BD175" s="77" t="str">
        <f t="shared" si="341"/>
        <v xml:space="preserve">   </v>
      </c>
      <c r="BE175" s="87">
        <f>IF($A175&gt;BC$191, 0, IF($A175=BC$191, BD175*SUM(BC175:BC$181)*BC$194/BC$195, SUM(BC175:BC$181)*BD175))</f>
        <v>0</v>
      </c>
      <c r="BF175" s="61"/>
      <c r="BG175" s="87">
        <f t="shared" si="342"/>
        <v>0</v>
      </c>
      <c r="BH175" s="77" t="str">
        <f t="shared" si="343"/>
        <v xml:space="preserve">   </v>
      </c>
      <c r="BI175" s="87">
        <f>IF($A175&gt;BG$191, 0, IF($A175=BG$191, BH175*SUM(BG175:BG$181)*BG$194/BG$195, SUM(BG175:BG$181)*BH175))</f>
        <v>0</v>
      </c>
      <c r="BJ175" s="61"/>
      <c r="BK175" s="35">
        <f t="shared" si="364"/>
        <v>0</v>
      </c>
      <c r="BL175" s="35">
        <f t="shared" si="365"/>
        <v>0</v>
      </c>
      <c r="BM175" s="8"/>
      <c r="BN175" s="87">
        <f t="shared" si="344"/>
        <v>0</v>
      </c>
      <c r="BO175" s="77" t="str">
        <f t="shared" si="345"/>
        <v xml:space="preserve">   </v>
      </c>
      <c r="BP175" s="87">
        <f>IF($A175&gt;BN$191, 0, IF($A175=BN$191, BO175*SUM(BN175:BN$181)*BN$194/BN$195, SUM(BN175:BN$181)*BO175))</f>
        <v>0</v>
      </c>
      <c r="BQ175" s="77"/>
      <c r="BR175" s="87"/>
      <c r="BS175" s="77"/>
      <c r="BT175" s="87"/>
      <c r="BU175" s="87"/>
      <c r="BV175" s="35">
        <f t="shared" si="366"/>
        <v>0</v>
      </c>
      <c r="BW175" s="35">
        <f t="shared" si="367"/>
        <v>0</v>
      </c>
      <c r="BX175" s="87"/>
      <c r="BY175" s="87">
        <f t="shared" si="346"/>
        <v>0</v>
      </c>
      <c r="BZ175" s="77" t="str">
        <f t="shared" si="347"/>
        <v xml:space="preserve">   </v>
      </c>
      <c r="CA175" s="87">
        <f>IF($A175&gt;BY$191, 0, IF($A175=BY$191, BZ175*SUM(BY175:BY$181)*BY$194/BY$195, SUM(BY175:BY$181)*BZ175))</f>
        <v>0</v>
      </c>
      <c r="CB175" s="87"/>
      <c r="CC175" s="87">
        <f t="shared" si="348"/>
        <v>0</v>
      </c>
      <c r="CD175" s="77" t="str">
        <f t="shared" si="349"/>
        <v xml:space="preserve">   </v>
      </c>
      <c r="CE175" s="87">
        <f>IF($A175&gt;CC$191, 0, IF($A175=CC$191, CD175*SUM(CC175:CC$181)*CC$194/CC$195, SUM(CC175:CC$181)*CD175))</f>
        <v>0</v>
      </c>
      <c r="CF175" s="87"/>
      <c r="CG175" s="87"/>
      <c r="CH175" s="77"/>
      <c r="CI175" s="87"/>
      <c r="CJ175" s="87"/>
      <c r="CK175" s="87">
        <f t="shared" si="350"/>
        <v>0</v>
      </c>
      <c r="CL175" s="77">
        <f t="shared" si="351"/>
        <v>3.5000000000000003E-2</v>
      </c>
      <c r="CM175" s="87">
        <f>IF($A175&gt;CK$191, 0, IF($A175=CK$191, CL175*SUM(CK175:CK$181)*CK$194/CK$195, SUM(CK175:CK$181)*CL175))</f>
        <v>2625000.0000000005</v>
      </c>
      <c r="CN175" s="87"/>
      <c r="CO175" s="162">
        <f t="shared" si="352"/>
        <v>0</v>
      </c>
      <c r="CP175" s="87">
        <f t="shared" si="353"/>
        <v>2625000.0000000005</v>
      </c>
      <c r="CQ175" s="6"/>
      <c r="CR175" s="87">
        <f t="shared" si="354"/>
        <v>0</v>
      </c>
      <c r="CS175" s="77" t="str">
        <f t="shared" si="355"/>
        <v xml:space="preserve">   </v>
      </c>
      <c r="CT175" s="87">
        <f>IF($A175&gt;CR$191, 0, IF($A175=CR$191, CS175*SUM(CR175:CR$181)*CR$194/CR$195, SUM(CR175:CR$181)*CS175))</f>
        <v>0</v>
      </c>
      <c r="CZ175" s="165">
        <f t="shared" si="356"/>
        <v>0</v>
      </c>
      <c r="DA175" s="165">
        <f t="shared" si="357"/>
        <v>0</v>
      </c>
      <c r="DB175" s="87"/>
      <c r="DC175" s="87">
        <f t="shared" si="358"/>
        <v>0</v>
      </c>
      <c r="DD175" s="77" t="str">
        <f t="shared" si="359"/>
        <v xml:space="preserve">   </v>
      </c>
      <c r="DE175" s="87">
        <f>IF($A175&gt;DC$191, 0, IF($A175=DC$191, DD175*SUM(DC175:DC$181)*DC$194/DC$195, SUM(DC175:DC$181)*DD175))</f>
        <v>0</v>
      </c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W175" s="165">
        <f t="shared" si="368"/>
        <v>0</v>
      </c>
      <c r="DX175" s="165">
        <f t="shared" si="369"/>
        <v>2625000.0000000005</v>
      </c>
      <c r="DY175" s="87"/>
      <c r="DZ175" s="53">
        <f t="shared" si="360"/>
        <v>2054</v>
      </c>
      <c r="EA175" s="35">
        <f t="shared" si="361"/>
        <v>0</v>
      </c>
      <c r="EB175" s="35">
        <f t="shared" si="362"/>
        <v>2625000.0000000005</v>
      </c>
      <c r="ED175" s="181">
        <f t="shared" si="370"/>
        <v>31</v>
      </c>
    </row>
    <row r="176" spans="1:134" s="33" customFormat="1" outlineLevel="1">
      <c r="A176" s="7">
        <f t="shared" si="363"/>
        <v>2055</v>
      </c>
      <c r="B176" s="151">
        <f>Assumptions!B39</f>
        <v>5.3800000000000001E-2</v>
      </c>
      <c r="C176" s="151">
        <f>Assumptions!C39</f>
        <v>5.3800000000000001E-2</v>
      </c>
      <c r="D176" s="151">
        <f>Assumptions!D39</f>
        <v>3.5000000000000003E-2</v>
      </c>
      <c r="E176" s="151">
        <f>Assumptions!E39</f>
        <v>5.2999999999999999E-2</v>
      </c>
      <c r="F176" s="8"/>
      <c r="G176" s="8"/>
      <c r="H176" s="8"/>
      <c r="I176" s="8"/>
      <c r="J176" s="8"/>
      <c r="K176" s="8"/>
      <c r="L176" s="8"/>
      <c r="M176" s="87">
        <f t="shared" si="320"/>
        <v>0</v>
      </c>
      <c r="N176" s="77" t="str">
        <f t="shared" si="321"/>
        <v xml:space="preserve">   </v>
      </c>
      <c r="O176" s="87">
        <f>IF($A176&gt;M$191, 0, IF($A176=M$191, N176*SUM(M176:M$181)*M$194/M$195, SUM(M176:M$181)*N176))</f>
        <v>0</v>
      </c>
      <c r="P176" s="35"/>
      <c r="Q176" s="87">
        <f t="shared" si="322"/>
        <v>0</v>
      </c>
      <c r="R176" s="77" t="str">
        <f t="shared" si="323"/>
        <v xml:space="preserve">   </v>
      </c>
      <c r="S176" s="87">
        <f>IF($A176&gt;Q$191, 0, IF($A176=Q$191, R176*SUM(Q176:Q$181)*Q$194/Q$195, SUM(Q176:Q$181)*R176))</f>
        <v>0</v>
      </c>
      <c r="T176" s="35"/>
      <c r="U176" s="35">
        <f t="shared" ref="U176:U181" si="371">M176+Q176</f>
        <v>0</v>
      </c>
      <c r="V176" s="35">
        <f t="shared" ref="V176:V181" si="372">O176+S176</f>
        <v>0</v>
      </c>
      <c r="W176" s="35"/>
      <c r="X176" s="87">
        <f t="shared" si="326"/>
        <v>0</v>
      </c>
      <c r="Y176" s="77" t="str">
        <f t="shared" si="327"/>
        <v xml:space="preserve">   </v>
      </c>
      <c r="Z176" s="87">
        <f>IF($A176&gt;X$191, 0, IF($A176=X$191, Y176*SUM(X176:X$181)*X$194/X$195, SUM(X176:X$181)*Y176))</f>
        <v>0</v>
      </c>
      <c r="AA176" s="87"/>
      <c r="AB176" s="87">
        <f t="shared" si="328"/>
        <v>0</v>
      </c>
      <c r="AC176" s="77" t="str">
        <f t="shared" si="329"/>
        <v xml:space="preserve">   </v>
      </c>
      <c r="AD176" s="87">
        <f>IF($A176&gt;AB$191, 0, IF($A176=AB$191, AC176*SUM(AB176:AB$181)*AB$194/AB$195, SUM(AB176:AB$181)*AC176))</f>
        <v>0</v>
      </c>
      <c r="AE176" s="35"/>
      <c r="AF176" s="87">
        <f t="shared" si="330"/>
        <v>0</v>
      </c>
      <c r="AG176" s="77" t="str">
        <f t="shared" si="331"/>
        <v xml:space="preserve">   </v>
      </c>
      <c r="AH176" s="87">
        <f>IF($A176&gt;AF$191, 0, IF($A176=AF$191, AG176*SUM(AF176:AF$181)*AF$194/AF$195, SUM(AF176:AF$181)*AG176))</f>
        <v>0</v>
      </c>
      <c r="AI176" s="35"/>
      <c r="AJ176" s="87"/>
      <c r="AK176" s="77"/>
      <c r="AL176" s="87"/>
      <c r="AM176" s="35"/>
      <c r="AN176" s="87">
        <f t="shared" si="332"/>
        <v>0</v>
      </c>
      <c r="AO176" s="77" t="str">
        <f t="shared" si="333"/>
        <v xml:space="preserve">   </v>
      </c>
      <c r="AP176" s="87">
        <f>IF($A176&gt;AN$191, 0, IF($A176=AN$191, AO176*SUM(AN176:AN$181)*AN$194/AN$195, SUM(AN176:AN$181)*AO176))</f>
        <v>0</v>
      </c>
      <c r="AQ176" s="35"/>
      <c r="AR176" s="87">
        <f t="shared" si="334"/>
        <v>0</v>
      </c>
      <c r="AS176" s="77" t="str">
        <f t="shared" si="335"/>
        <v xml:space="preserve">   </v>
      </c>
      <c r="AT176" s="87">
        <f>IF($A176&gt;AR$191, 0, IF($A176=AR$191, AS176*SUM(AR176:AR$181)*AR$194/AR$195, SUM(AR176:AR$181)*AS176))</f>
        <v>0</v>
      </c>
      <c r="AV176" s="35">
        <f t="shared" ref="AV176:AV181" si="373">AF176+AJ176+AN176+AR176</f>
        <v>0</v>
      </c>
      <c r="AW176" s="35">
        <f t="shared" ref="AW176:AW181" si="374">AH176+AL176+AP176+AT176</f>
        <v>0</v>
      </c>
      <c r="AX176" s="35"/>
      <c r="AY176" s="87">
        <f t="shared" si="338"/>
        <v>0</v>
      </c>
      <c r="AZ176" s="77" t="str">
        <f t="shared" si="339"/>
        <v xml:space="preserve">   </v>
      </c>
      <c r="BA176" s="87">
        <f>IF($A176&gt;AY$191, 0, IF($A176=AY$191, AZ176*SUM(AY176:AY$181)*AY$194/AY$195, SUM(AY176:AY$181)*AZ176))</f>
        <v>0</v>
      </c>
      <c r="BB176" s="61"/>
      <c r="BC176" s="87">
        <f t="shared" si="340"/>
        <v>0</v>
      </c>
      <c r="BD176" s="77" t="str">
        <f t="shared" si="341"/>
        <v xml:space="preserve">   </v>
      </c>
      <c r="BE176" s="87">
        <f>IF($A176&gt;BC$191, 0, IF($A176=BC$191, BD176*SUM(BC176:BC$181)*BC$194/BC$195, SUM(BC176:BC$181)*BD176))</f>
        <v>0</v>
      </c>
      <c r="BF176" s="61"/>
      <c r="BG176" s="87">
        <f t="shared" si="342"/>
        <v>0</v>
      </c>
      <c r="BH176" s="77" t="str">
        <f t="shared" si="343"/>
        <v xml:space="preserve">   </v>
      </c>
      <c r="BI176" s="87">
        <f>IF($A176&gt;BG$191, 0, IF($A176=BG$191, BH176*SUM(BG176:BG$181)*BG$194/BG$195, SUM(BG176:BG$181)*BH176))</f>
        <v>0</v>
      </c>
      <c r="BJ176" s="61"/>
      <c r="BK176" s="35">
        <f t="shared" si="364"/>
        <v>0</v>
      </c>
      <c r="BL176" s="35">
        <f t="shared" si="365"/>
        <v>0</v>
      </c>
      <c r="BM176" s="8"/>
      <c r="BN176" s="87">
        <f t="shared" si="344"/>
        <v>0</v>
      </c>
      <c r="BO176" s="77" t="str">
        <f t="shared" si="345"/>
        <v xml:space="preserve">   </v>
      </c>
      <c r="BP176" s="87">
        <f>IF($A176&gt;BN$191, 0, IF($A176=BN$191, BO176*SUM(BN176:BN$181)*BN$194/BN$195, SUM(BN176:BN$181)*BO176))</f>
        <v>0</v>
      </c>
      <c r="BQ176" s="77"/>
      <c r="BR176" s="87"/>
      <c r="BS176" s="77"/>
      <c r="BT176" s="87"/>
      <c r="BU176" s="87"/>
      <c r="BV176" s="35">
        <f t="shared" si="366"/>
        <v>0</v>
      </c>
      <c r="BW176" s="35">
        <f t="shared" si="367"/>
        <v>0</v>
      </c>
      <c r="BX176" s="87"/>
      <c r="BY176" s="87">
        <f t="shared" si="346"/>
        <v>0</v>
      </c>
      <c r="BZ176" s="77" t="str">
        <f t="shared" si="347"/>
        <v xml:space="preserve">   </v>
      </c>
      <c r="CA176" s="87">
        <f>IF($A176&gt;BY$191, 0, IF($A176=BY$191, BZ176*SUM(BY176:BY$181)*BY$194/BY$195, SUM(BY176:BY$181)*BZ176))</f>
        <v>0</v>
      </c>
      <c r="CB176" s="87"/>
      <c r="CC176" s="87">
        <f t="shared" si="348"/>
        <v>0</v>
      </c>
      <c r="CD176" s="77" t="str">
        <f t="shared" si="349"/>
        <v xml:space="preserve">   </v>
      </c>
      <c r="CE176" s="87">
        <f>IF($A176&gt;CC$191, 0, IF($A176=CC$191, CD176*SUM(CC176:CC$181)*CC$194/CC$195, SUM(CC176:CC$181)*CD176))</f>
        <v>0</v>
      </c>
      <c r="CF176" s="87"/>
      <c r="CG176" s="87"/>
      <c r="CH176" s="77"/>
      <c r="CI176" s="87"/>
      <c r="CJ176" s="87"/>
      <c r="CK176" s="87">
        <f t="shared" si="350"/>
        <v>0</v>
      </c>
      <c r="CL176" s="77">
        <f t="shared" si="351"/>
        <v>3.5000000000000003E-2</v>
      </c>
      <c r="CM176" s="87">
        <f>IF($A176&gt;CK$191, 0, IF($A176=CK$191, CL176*SUM(CK176:CK$181)*CK$194/CK$195, SUM(CK176:CK$181)*CL176))</f>
        <v>2625000.0000000005</v>
      </c>
      <c r="CN176" s="87"/>
      <c r="CO176" s="162">
        <f t="shared" si="352"/>
        <v>0</v>
      </c>
      <c r="CP176" s="87">
        <f t="shared" si="353"/>
        <v>2625000.0000000005</v>
      </c>
      <c r="CQ176" s="6"/>
      <c r="CR176" s="87">
        <f t="shared" si="354"/>
        <v>0</v>
      </c>
      <c r="CS176" s="77" t="str">
        <f t="shared" si="355"/>
        <v xml:space="preserve">   </v>
      </c>
      <c r="CT176" s="87">
        <f>IF($A176&gt;CR$191, 0, IF($A176=CR$191, CS176*SUM(CR176:CR$181)*CR$194/CR$195, SUM(CR176:CR$181)*CS176))</f>
        <v>0</v>
      </c>
      <c r="CZ176" s="165">
        <f t="shared" si="356"/>
        <v>0</v>
      </c>
      <c r="DA176" s="165">
        <f t="shared" si="357"/>
        <v>0</v>
      </c>
      <c r="DB176" s="87"/>
      <c r="DC176" s="87">
        <f t="shared" si="358"/>
        <v>0</v>
      </c>
      <c r="DD176" s="77" t="str">
        <f t="shared" si="359"/>
        <v xml:space="preserve">   </v>
      </c>
      <c r="DE176" s="87">
        <f>IF($A176&gt;DC$191, 0, IF($A176=DC$191, DD176*SUM(DC176:DC$181)*DC$194/DC$195, SUM(DC176:DC$181)*DD176))</f>
        <v>0</v>
      </c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W176" s="165">
        <f t="shared" si="368"/>
        <v>0</v>
      </c>
      <c r="DX176" s="165">
        <f t="shared" si="369"/>
        <v>2625000.0000000005</v>
      </c>
      <c r="DY176" s="87"/>
      <c r="DZ176" s="53">
        <f t="shared" si="360"/>
        <v>2055</v>
      </c>
      <c r="EA176" s="35">
        <f t="shared" si="361"/>
        <v>0</v>
      </c>
      <c r="EB176" s="35">
        <f t="shared" si="362"/>
        <v>2625000.0000000005</v>
      </c>
      <c r="ED176" s="181">
        <f t="shared" si="370"/>
        <v>32</v>
      </c>
    </row>
    <row r="177" spans="1:134" s="33" customFormat="1" outlineLevel="1">
      <c r="A177" s="7">
        <f t="shared" si="363"/>
        <v>2056</v>
      </c>
      <c r="B177" s="151">
        <f>Assumptions!B40</f>
        <v>5.3800000000000001E-2</v>
      </c>
      <c r="C177" s="151">
        <f>Assumptions!C40</f>
        <v>5.3800000000000001E-2</v>
      </c>
      <c r="D177" s="151">
        <f>Assumptions!D40</f>
        <v>3.5000000000000003E-2</v>
      </c>
      <c r="E177" s="151">
        <f>Assumptions!E40</f>
        <v>5.2999999999999999E-2</v>
      </c>
      <c r="F177" s="8"/>
      <c r="G177" s="8"/>
      <c r="H177" s="8"/>
      <c r="I177" s="8"/>
      <c r="J177" s="8"/>
      <c r="K177" s="8"/>
      <c r="L177" s="8"/>
      <c r="M177" s="87">
        <f t="shared" si="320"/>
        <v>0</v>
      </c>
      <c r="N177" s="77" t="str">
        <f t="shared" si="321"/>
        <v xml:space="preserve">   </v>
      </c>
      <c r="O177" s="87">
        <f>IF($A177&gt;M$191, 0, IF($A177=M$191, N177*SUM(M177:M$181)*M$194/M$195, SUM(M177:M$181)*N177))</f>
        <v>0</v>
      </c>
      <c r="P177" s="35"/>
      <c r="Q177" s="87">
        <f t="shared" si="322"/>
        <v>0</v>
      </c>
      <c r="R177" s="77" t="str">
        <f t="shared" si="323"/>
        <v xml:space="preserve">   </v>
      </c>
      <c r="S177" s="87">
        <f>IF($A177&gt;Q$191, 0, IF($A177=Q$191, R177*SUM(Q177:Q$181)*Q$194/Q$195, SUM(Q177:Q$181)*R177))</f>
        <v>0</v>
      </c>
      <c r="T177" s="35"/>
      <c r="U177" s="35">
        <f t="shared" si="371"/>
        <v>0</v>
      </c>
      <c r="V177" s="35">
        <f t="shared" si="372"/>
        <v>0</v>
      </c>
      <c r="W177" s="35"/>
      <c r="X177" s="87">
        <f t="shared" si="326"/>
        <v>0</v>
      </c>
      <c r="Y177" s="77" t="str">
        <f t="shared" si="327"/>
        <v xml:space="preserve">   </v>
      </c>
      <c r="Z177" s="87">
        <f>IF($A177&gt;X$191, 0, IF($A177=X$191, Y177*SUM(X177:X$181)*X$194/X$195, SUM(X177:X$181)*Y177))</f>
        <v>0</v>
      </c>
      <c r="AA177" s="87"/>
      <c r="AB177" s="87">
        <f t="shared" si="328"/>
        <v>0</v>
      </c>
      <c r="AC177" s="77" t="str">
        <f t="shared" si="329"/>
        <v xml:space="preserve">   </v>
      </c>
      <c r="AD177" s="87">
        <f>IF($A177&gt;AB$191, 0, IF($A177=AB$191, AC177*SUM(AB177:AB$181)*AB$194/AB$195, SUM(AB177:AB$181)*AC177))</f>
        <v>0</v>
      </c>
      <c r="AE177" s="35"/>
      <c r="AF177" s="87">
        <f t="shared" si="330"/>
        <v>0</v>
      </c>
      <c r="AG177" s="77" t="str">
        <f t="shared" si="331"/>
        <v xml:space="preserve">   </v>
      </c>
      <c r="AH177" s="87">
        <f>IF($A177&gt;AF$191, 0, IF($A177=AF$191, AG177*SUM(AF177:AF$181)*AF$194/AF$195, SUM(AF177:AF$181)*AG177))</f>
        <v>0</v>
      </c>
      <c r="AI177" s="35"/>
      <c r="AJ177" s="87"/>
      <c r="AK177" s="77"/>
      <c r="AL177" s="87"/>
      <c r="AM177" s="35"/>
      <c r="AN177" s="87">
        <f t="shared" si="332"/>
        <v>0</v>
      </c>
      <c r="AO177" s="77" t="str">
        <f t="shared" si="333"/>
        <v xml:space="preserve">   </v>
      </c>
      <c r="AP177" s="87">
        <f>IF($A177&gt;AN$191, 0, IF($A177=AN$191, AO177*SUM(AN177:AN$181)*AN$194/AN$195, SUM(AN177:AN$181)*AO177))</f>
        <v>0</v>
      </c>
      <c r="AQ177" s="35"/>
      <c r="AR177" s="87">
        <f t="shared" si="334"/>
        <v>0</v>
      </c>
      <c r="AS177" s="77" t="str">
        <f t="shared" si="335"/>
        <v xml:space="preserve">   </v>
      </c>
      <c r="AT177" s="87">
        <f>IF($A177&gt;AR$191, 0, IF($A177=AR$191, AS177*SUM(AR177:AR$181)*AR$194/AR$195, SUM(AR177:AR$181)*AS177))</f>
        <v>0</v>
      </c>
      <c r="AV177" s="35">
        <f t="shared" si="373"/>
        <v>0</v>
      </c>
      <c r="AW177" s="35">
        <f t="shared" si="374"/>
        <v>0</v>
      </c>
      <c r="AX177" s="35"/>
      <c r="AY177" s="87">
        <f t="shared" si="338"/>
        <v>0</v>
      </c>
      <c r="AZ177" s="77" t="str">
        <f t="shared" si="339"/>
        <v xml:space="preserve">   </v>
      </c>
      <c r="BA177" s="87">
        <f>IF($A177&gt;AY$191, 0, IF($A177=AY$191, AZ177*SUM(AY177:AY$181)*AY$194/AY$195, SUM(AY177:AY$181)*AZ177))</f>
        <v>0</v>
      </c>
      <c r="BB177" s="61"/>
      <c r="BC177" s="87">
        <f t="shared" si="340"/>
        <v>0</v>
      </c>
      <c r="BD177" s="77" t="str">
        <f t="shared" si="341"/>
        <v xml:space="preserve">   </v>
      </c>
      <c r="BE177" s="87">
        <f>IF($A177&gt;BC$191, 0, IF($A177=BC$191, BD177*SUM(BC177:BC$181)*BC$194/BC$195, SUM(BC177:BC$181)*BD177))</f>
        <v>0</v>
      </c>
      <c r="BF177" s="61"/>
      <c r="BG177" s="87">
        <f t="shared" si="342"/>
        <v>0</v>
      </c>
      <c r="BH177" s="77" t="str">
        <f t="shared" si="343"/>
        <v xml:space="preserve">   </v>
      </c>
      <c r="BI177" s="87">
        <f>IF($A177&gt;BG$191, 0, IF($A177=BG$191, BH177*SUM(BG177:BG$181)*BG$194/BG$195, SUM(BG177:BG$181)*BH177))</f>
        <v>0</v>
      </c>
      <c r="BJ177" s="61"/>
      <c r="BK177" s="35">
        <f t="shared" si="364"/>
        <v>0</v>
      </c>
      <c r="BL177" s="35">
        <f t="shared" si="365"/>
        <v>0</v>
      </c>
      <c r="BM177" s="8"/>
      <c r="BN177" s="87">
        <f t="shared" si="344"/>
        <v>0</v>
      </c>
      <c r="BO177" s="77" t="str">
        <f t="shared" si="345"/>
        <v xml:space="preserve">   </v>
      </c>
      <c r="BP177" s="87">
        <f>IF($A177&gt;BN$191, 0, IF($A177=BN$191, BO177*SUM(BN177:BN$181)*BN$194/BN$195, SUM(BN177:BN$181)*BO177))</f>
        <v>0</v>
      </c>
      <c r="BQ177" s="77"/>
      <c r="BR177" s="87"/>
      <c r="BS177" s="77"/>
      <c r="BT177" s="87"/>
      <c r="BU177" s="87"/>
      <c r="BV177" s="35">
        <f t="shared" si="366"/>
        <v>0</v>
      </c>
      <c r="BW177" s="35">
        <f t="shared" si="367"/>
        <v>0</v>
      </c>
      <c r="BX177" s="87"/>
      <c r="BY177" s="87">
        <f t="shared" si="346"/>
        <v>0</v>
      </c>
      <c r="BZ177" s="77" t="str">
        <f t="shared" si="347"/>
        <v xml:space="preserve">   </v>
      </c>
      <c r="CA177" s="87">
        <f>IF($A177&gt;BY$191, 0, IF($A177=BY$191, BZ177*SUM(BY177:BY$181)*BY$194/BY$195, SUM(BY177:BY$181)*BZ177))</f>
        <v>0</v>
      </c>
      <c r="CB177" s="87"/>
      <c r="CC177" s="87">
        <f t="shared" si="348"/>
        <v>0</v>
      </c>
      <c r="CD177" s="77" t="str">
        <f t="shared" si="349"/>
        <v xml:space="preserve">   </v>
      </c>
      <c r="CE177" s="87">
        <f>IF($A177&gt;CC$191, 0, IF($A177=CC$191, CD177*SUM(CC177:CC$181)*CC$194/CC$195, SUM(CC177:CC$181)*CD177))</f>
        <v>0</v>
      </c>
      <c r="CF177" s="87"/>
      <c r="CG177" s="87"/>
      <c r="CH177" s="77"/>
      <c r="CI177" s="87"/>
      <c r="CJ177" s="87"/>
      <c r="CK177" s="87">
        <f t="shared" si="350"/>
        <v>0</v>
      </c>
      <c r="CL177" s="77">
        <f t="shared" si="351"/>
        <v>3.5000000000000003E-2</v>
      </c>
      <c r="CM177" s="87">
        <f>IF($A177&gt;CK$191, 0, IF($A177=CK$191, CL177*SUM(CK177:CK$181)*CK$194/CK$195, SUM(CK177:CK$181)*CL177))</f>
        <v>2625000.0000000005</v>
      </c>
      <c r="CN177" s="87"/>
      <c r="CO177" s="162">
        <f t="shared" si="352"/>
        <v>0</v>
      </c>
      <c r="CP177" s="87">
        <f t="shared" si="353"/>
        <v>2625000.0000000005</v>
      </c>
      <c r="CQ177" s="6"/>
      <c r="CR177" s="87">
        <f t="shared" si="354"/>
        <v>0</v>
      </c>
      <c r="CS177" s="77" t="str">
        <f t="shared" si="355"/>
        <v xml:space="preserve">   </v>
      </c>
      <c r="CT177" s="87">
        <f>IF($A177&gt;CR$191, 0, IF($A177=CR$191, CS177*SUM(CR177:CR$181)*CR$194/CR$195, SUM(CR177:CR$181)*CS177))</f>
        <v>0</v>
      </c>
      <c r="CZ177" s="165">
        <f t="shared" si="356"/>
        <v>0</v>
      </c>
      <c r="DA177" s="165">
        <f t="shared" si="357"/>
        <v>0</v>
      </c>
      <c r="DB177" s="87"/>
      <c r="DC177" s="87">
        <f t="shared" si="358"/>
        <v>0</v>
      </c>
      <c r="DD177" s="77" t="str">
        <f t="shared" si="359"/>
        <v xml:space="preserve">   </v>
      </c>
      <c r="DE177" s="87">
        <f>IF($A177&gt;DC$191, 0, IF($A177=DC$191, DD177*SUM(DC177:DC$181)*DC$194/DC$195, SUM(DC177:DC$181)*DD177))</f>
        <v>0</v>
      </c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W177" s="165">
        <f t="shared" si="368"/>
        <v>0</v>
      </c>
      <c r="DX177" s="165">
        <f t="shared" si="369"/>
        <v>2625000.0000000005</v>
      </c>
      <c r="DY177" s="87"/>
      <c r="DZ177" s="53">
        <f t="shared" si="360"/>
        <v>2056</v>
      </c>
      <c r="EA177" s="35">
        <f t="shared" si="361"/>
        <v>0</v>
      </c>
      <c r="EB177" s="35">
        <f t="shared" si="362"/>
        <v>2625000.0000000005</v>
      </c>
      <c r="ED177" s="181">
        <f t="shared" si="370"/>
        <v>33</v>
      </c>
    </row>
    <row r="178" spans="1:134" s="33" customFormat="1" outlineLevel="1">
      <c r="A178" s="7">
        <f t="shared" si="363"/>
        <v>2057</v>
      </c>
      <c r="B178" s="151">
        <f>Assumptions!B41</f>
        <v>5.3800000000000001E-2</v>
      </c>
      <c r="C178" s="151">
        <f>Assumptions!C41</f>
        <v>5.3800000000000001E-2</v>
      </c>
      <c r="D178" s="151">
        <f>Assumptions!D41</f>
        <v>3.5000000000000003E-2</v>
      </c>
      <c r="E178" s="151">
        <f>Assumptions!E41</f>
        <v>5.2999999999999999E-2</v>
      </c>
      <c r="F178" s="8"/>
      <c r="G178" s="8"/>
      <c r="H178" s="8"/>
      <c r="I178" s="8"/>
      <c r="J178" s="8"/>
      <c r="K178" s="8"/>
      <c r="L178" s="8"/>
      <c r="M178" s="87">
        <f t="shared" si="320"/>
        <v>0</v>
      </c>
      <c r="N178" s="77" t="str">
        <f t="shared" si="321"/>
        <v xml:space="preserve">   </v>
      </c>
      <c r="O178" s="87">
        <f>IF($A178&gt;M$191, 0, IF($A178=M$191, N178*SUM(M178:M$181)*M$194/M$195, SUM(M178:M$181)*N178))</f>
        <v>0</v>
      </c>
      <c r="P178" s="35"/>
      <c r="Q178" s="87">
        <f t="shared" si="322"/>
        <v>0</v>
      </c>
      <c r="R178" s="77" t="str">
        <f t="shared" si="323"/>
        <v xml:space="preserve">   </v>
      </c>
      <c r="S178" s="87">
        <f>IF($A178&gt;Q$191, 0, IF($A178=Q$191, R178*SUM(Q178:Q$181)*Q$194/Q$195, SUM(Q178:Q$181)*R178))</f>
        <v>0</v>
      </c>
      <c r="T178" s="35"/>
      <c r="U178" s="35">
        <f t="shared" si="371"/>
        <v>0</v>
      </c>
      <c r="V178" s="35">
        <f t="shared" si="372"/>
        <v>0</v>
      </c>
      <c r="W178" s="35"/>
      <c r="X178" s="87">
        <f t="shared" si="326"/>
        <v>0</v>
      </c>
      <c r="Y178" s="77" t="str">
        <f t="shared" si="327"/>
        <v xml:space="preserve">   </v>
      </c>
      <c r="Z178" s="87">
        <f>IF($A178&gt;X$191, 0, IF($A178=X$191, Y178*SUM(X178:X$181)*X$194/X$195, SUM(X178:X$181)*Y178))</f>
        <v>0</v>
      </c>
      <c r="AA178" s="87"/>
      <c r="AB178" s="87">
        <f t="shared" si="328"/>
        <v>0</v>
      </c>
      <c r="AC178" s="77" t="str">
        <f t="shared" si="329"/>
        <v xml:space="preserve">   </v>
      </c>
      <c r="AD178" s="87">
        <f>IF($A178&gt;AB$191, 0, IF($A178=AB$191, AC178*SUM(AB178:AB$181)*AB$194/AB$195, SUM(AB178:AB$181)*AC178))</f>
        <v>0</v>
      </c>
      <c r="AE178" s="35"/>
      <c r="AF178" s="87">
        <f t="shared" si="330"/>
        <v>0</v>
      </c>
      <c r="AG178" s="77" t="str">
        <f t="shared" si="331"/>
        <v xml:space="preserve">   </v>
      </c>
      <c r="AH178" s="87">
        <f>IF($A178&gt;AF$191, 0, IF($A178=AF$191, AG178*SUM(AF178:AF$181)*AF$194/AF$195, SUM(AF178:AF$181)*AG178))</f>
        <v>0</v>
      </c>
      <c r="AI178" s="35"/>
      <c r="AJ178" s="87"/>
      <c r="AK178" s="77"/>
      <c r="AL178" s="87"/>
      <c r="AM178" s="35"/>
      <c r="AN178" s="87">
        <f t="shared" si="332"/>
        <v>0</v>
      </c>
      <c r="AO178" s="77" t="str">
        <f t="shared" si="333"/>
        <v xml:space="preserve">   </v>
      </c>
      <c r="AP178" s="87">
        <f>IF($A178&gt;AN$191, 0, IF($A178=AN$191, AO178*SUM(AN178:AN$181)*AN$194/AN$195, SUM(AN178:AN$181)*AO178))</f>
        <v>0</v>
      </c>
      <c r="AQ178" s="35"/>
      <c r="AR178" s="87">
        <f t="shared" si="334"/>
        <v>0</v>
      </c>
      <c r="AS178" s="77" t="str">
        <f t="shared" si="335"/>
        <v xml:space="preserve">   </v>
      </c>
      <c r="AT178" s="87">
        <f>IF($A178&gt;AR$191, 0, IF($A178=AR$191, AS178*SUM(AR178:AR$181)*AR$194/AR$195, SUM(AR178:AR$181)*AS178))</f>
        <v>0</v>
      </c>
      <c r="AV178" s="35">
        <f t="shared" si="373"/>
        <v>0</v>
      </c>
      <c r="AW178" s="35">
        <f t="shared" si="374"/>
        <v>0</v>
      </c>
      <c r="AX178" s="35"/>
      <c r="AY178" s="87">
        <f t="shared" si="338"/>
        <v>0</v>
      </c>
      <c r="AZ178" s="77" t="str">
        <f t="shared" si="339"/>
        <v xml:space="preserve">   </v>
      </c>
      <c r="BA178" s="87">
        <f>IF($A178&gt;AY$191, 0, IF($A178=AY$191, AZ178*SUM(AY178:AY$181)*AY$194/AY$195, SUM(AY178:AY$181)*AZ178))</f>
        <v>0</v>
      </c>
      <c r="BB178" s="61"/>
      <c r="BC178" s="87">
        <f t="shared" si="340"/>
        <v>0</v>
      </c>
      <c r="BD178" s="77" t="str">
        <f t="shared" si="341"/>
        <v xml:space="preserve">   </v>
      </c>
      <c r="BE178" s="87">
        <f>IF($A178&gt;BC$191, 0, IF($A178=BC$191, BD178*SUM(BC178:BC$181)*BC$194/BC$195, SUM(BC178:BC$181)*BD178))</f>
        <v>0</v>
      </c>
      <c r="BF178" s="61"/>
      <c r="BG178" s="87">
        <f t="shared" si="342"/>
        <v>0</v>
      </c>
      <c r="BH178" s="77" t="str">
        <f t="shared" si="343"/>
        <v xml:space="preserve">   </v>
      </c>
      <c r="BI178" s="87">
        <f>IF($A178&gt;BG$191, 0, IF($A178=BG$191, BH178*SUM(BG178:BG$181)*BG$194/BG$195, SUM(BG178:BG$181)*BH178))</f>
        <v>0</v>
      </c>
      <c r="BJ178" s="61"/>
      <c r="BK178" s="35">
        <f t="shared" si="364"/>
        <v>0</v>
      </c>
      <c r="BL178" s="35">
        <f t="shared" si="365"/>
        <v>0</v>
      </c>
      <c r="BM178" s="8"/>
      <c r="BN178" s="87">
        <f t="shared" si="344"/>
        <v>0</v>
      </c>
      <c r="BO178" s="77" t="str">
        <f t="shared" si="345"/>
        <v xml:space="preserve">   </v>
      </c>
      <c r="BP178" s="87">
        <f>IF($A178&gt;BN$191, 0, IF($A178=BN$191, BO178*SUM(BN178:BN$181)*BN$194/BN$195, SUM(BN178:BN$181)*BO178))</f>
        <v>0</v>
      </c>
      <c r="BQ178" s="77"/>
      <c r="BR178" s="87"/>
      <c r="BS178" s="77"/>
      <c r="BT178" s="87"/>
      <c r="BU178" s="87"/>
      <c r="BV178" s="35">
        <f t="shared" si="366"/>
        <v>0</v>
      </c>
      <c r="BW178" s="35">
        <f t="shared" si="367"/>
        <v>0</v>
      </c>
      <c r="BX178" s="87"/>
      <c r="BY178" s="87">
        <f t="shared" si="346"/>
        <v>0</v>
      </c>
      <c r="BZ178" s="77" t="str">
        <f t="shared" si="347"/>
        <v xml:space="preserve">   </v>
      </c>
      <c r="CA178" s="87">
        <f>IF($A178&gt;BY$191, 0, IF($A178=BY$191, BZ178*SUM(BY178:BY$181)*BY$194/BY$195, SUM(BY178:BY$181)*BZ178))</f>
        <v>0</v>
      </c>
      <c r="CB178" s="87"/>
      <c r="CC178" s="87">
        <f t="shared" si="348"/>
        <v>0</v>
      </c>
      <c r="CD178" s="77" t="str">
        <f t="shared" si="349"/>
        <v xml:space="preserve">   </v>
      </c>
      <c r="CE178" s="87">
        <f>IF($A178&gt;CC$191, 0, IF($A178=CC$191, CD178*SUM(CC178:CC$181)*CC$194/CC$195, SUM(CC178:CC$181)*CD178))</f>
        <v>0</v>
      </c>
      <c r="CF178" s="87"/>
      <c r="CG178" s="87"/>
      <c r="CH178" s="77"/>
      <c r="CI178" s="87"/>
      <c r="CJ178" s="87"/>
      <c r="CK178" s="87">
        <f t="shared" si="350"/>
        <v>75000000</v>
      </c>
      <c r="CL178" s="77">
        <f t="shared" si="351"/>
        <v>3.5000000000000003E-2</v>
      </c>
      <c r="CM178" s="87">
        <f>IF($A178&gt;CK$191, 0, IF($A178=CK$191, CL178*SUM(CK178:CK$181)*CK$194/CK$195, SUM(CK178:CK$181)*CL178))</f>
        <v>656250.00000000012</v>
      </c>
      <c r="CN178" s="87"/>
      <c r="CO178" s="162">
        <f t="shared" si="352"/>
        <v>75000000</v>
      </c>
      <c r="CP178" s="87">
        <f t="shared" si="353"/>
        <v>656250.00000000012</v>
      </c>
      <c r="CQ178" s="6"/>
      <c r="CR178" s="87">
        <f t="shared" si="354"/>
        <v>0</v>
      </c>
      <c r="CS178" s="77" t="str">
        <f t="shared" si="355"/>
        <v xml:space="preserve">   </v>
      </c>
      <c r="CT178" s="87">
        <f>IF($A178&gt;CR$191, 0, IF($A178=CR$191, CS178*SUM(CR178:CR$181)*CR$194/CR$195, SUM(CR178:CR$181)*CS178))</f>
        <v>0</v>
      </c>
      <c r="CZ178" s="165">
        <f t="shared" si="356"/>
        <v>0</v>
      </c>
      <c r="DA178" s="165">
        <f t="shared" si="357"/>
        <v>0</v>
      </c>
      <c r="DB178" s="87"/>
      <c r="DC178" s="87">
        <f t="shared" si="358"/>
        <v>0</v>
      </c>
      <c r="DD178" s="77" t="str">
        <f t="shared" si="359"/>
        <v xml:space="preserve">   </v>
      </c>
      <c r="DE178" s="87">
        <f>IF($A178&gt;DC$191, 0, IF($A178=DC$191, DD178*SUM(DC178:DC$181)*DC$194/DC$195, SUM(DC178:DC$181)*DD178))</f>
        <v>0</v>
      </c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W178" s="165">
        <f t="shared" si="368"/>
        <v>75000000</v>
      </c>
      <c r="DX178" s="165">
        <f t="shared" si="369"/>
        <v>656250.00000000012</v>
      </c>
      <c r="DY178" s="87"/>
      <c r="DZ178" s="53">
        <f t="shared" si="360"/>
        <v>2057</v>
      </c>
      <c r="EA178" s="35">
        <f t="shared" si="361"/>
        <v>75000000</v>
      </c>
      <c r="EB178" s="35">
        <f t="shared" si="362"/>
        <v>656250.00000000012</v>
      </c>
      <c r="ED178" s="181">
        <f t="shared" si="370"/>
        <v>34</v>
      </c>
    </row>
    <row r="179" spans="1:134" s="33" customFormat="1" outlineLevel="1">
      <c r="A179" s="7">
        <f t="shared" si="363"/>
        <v>2058</v>
      </c>
      <c r="B179" s="151">
        <f>Assumptions!B42</f>
        <v>5.3800000000000001E-2</v>
      </c>
      <c r="C179" s="151">
        <f>Assumptions!C42</f>
        <v>5.3800000000000001E-2</v>
      </c>
      <c r="D179" s="151">
        <f>Assumptions!D42</f>
        <v>3.5000000000000003E-2</v>
      </c>
      <c r="E179" s="151">
        <f>Assumptions!E42</f>
        <v>5.2999999999999999E-2</v>
      </c>
      <c r="F179" s="8"/>
      <c r="G179" s="8"/>
      <c r="H179" s="8"/>
      <c r="I179" s="8"/>
      <c r="J179" s="8"/>
      <c r="K179" s="8"/>
      <c r="L179" s="8"/>
      <c r="M179" s="87">
        <f t="shared" si="320"/>
        <v>0</v>
      </c>
      <c r="N179" s="77" t="str">
        <f t="shared" si="321"/>
        <v xml:space="preserve">   </v>
      </c>
      <c r="O179" s="87">
        <f>IF($A179&gt;M$191, 0, IF($A179=M$191, N179*SUM(M179:M$181)*M$194/M$195, SUM(M179:M$181)*N179))</f>
        <v>0</v>
      </c>
      <c r="P179" s="35"/>
      <c r="Q179" s="87">
        <f t="shared" si="322"/>
        <v>0</v>
      </c>
      <c r="R179" s="77" t="str">
        <f t="shared" si="323"/>
        <v xml:space="preserve">   </v>
      </c>
      <c r="S179" s="87">
        <f>IF($A179&gt;Q$191, 0, IF($A179=Q$191, R179*SUM(Q179:Q$181)*Q$194/Q$195, SUM(Q179:Q$181)*R179))</f>
        <v>0</v>
      </c>
      <c r="T179" s="35"/>
      <c r="U179" s="35">
        <f t="shared" si="371"/>
        <v>0</v>
      </c>
      <c r="V179" s="35">
        <f t="shared" si="372"/>
        <v>0</v>
      </c>
      <c r="W179" s="35"/>
      <c r="X179" s="87">
        <f t="shared" si="326"/>
        <v>0</v>
      </c>
      <c r="Y179" s="77" t="str">
        <f t="shared" si="327"/>
        <v xml:space="preserve">   </v>
      </c>
      <c r="Z179" s="87">
        <f>IF($A179&gt;X$191, 0, IF($A179=X$191, Y179*SUM(X179:X$181)*X$194/X$195, SUM(X179:X$181)*Y179))</f>
        <v>0</v>
      </c>
      <c r="AA179" s="87"/>
      <c r="AB179" s="87">
        <f t="shared" si="328"/>
        <v>0</v>
      </c>
      <c r="AC179" s="77" t="str">
        <f t="shared" si="329"/>
        <v xml:space="preserve">   </v>
      </c>
      <c r="AD179" s="87">
        <f>IF($A179&gt;AB$191, 0, IF($A179=AB$191, AC179*SUM(AB179:AB$181)*AB$194/AB$195, SUM(AB179:AB$181)*AC179))</f>
        <v>0</v>
      </c>
      <c r="AE179" s="35"/>
      <c r="AF179" s="87">
        <f t="shared" si="330"/>
        <v>0</v>
      </c>
      <c r="AG179" s="77" t="str">
        <f t="shared" si="331"/>
        <v xml:space="preserve">   </v>
      </c>
      <c r="AH179" s="87">
        <f>IF($A179&gt;AF$191, 0, IF($A179=AF$191, AG179*SUM(AF179:AF$181)*AF$194/AF$195, SUM(AF179:AF$181)*AG179))</f>
        <v>0</v>
      </c>
      <c r="AI179" s="35"/>
      <c r="AJ179" s="87"/>
      <c r="AK179" s="77"/>
      <c r="AL179" s="87"/>
      <c r="AM179" s="35"/>
      <c r="AN179" s="87">
        <f t="shared" si="332"/>
        <v>0</v>
      </c>
      <c r="AO179" s="77" t="str">
        <f t="shared" si="333"/>
        <v xml:space="preserve">   </v>
      </c>
      <c r="AP179" s="87">
        <f>IF($A179&gt;AN$191, 0, IF($A179=AN$191, AO179*SUM(AN179:AN$181)*AN$194/AN$195, SUM(AN179:AN$181)*AO179))</f>
        <v>0</v>
      </c>
      <c r="AQ179" s="35"/>
      <c r="AR179" s="87">
        <f t="shared" si="334"/>
        <v>0</v>
      </c>
      <c r="AS179" s="77" t="str">
        <f t="shared" si="335"/>
        <v xml:space="preserve">   </v>
      </c>
      <c r="AT179" s="87">
        <f>IF($A179&gt;AR$191, 0, IF($A179=AR$191, AS179*SUM(AR179:AR$181)*AR$194/AR$195, SUM(AR179:AR$181)*AS179))</f>
        <v>0</v>
      </c>
      <c r="AV179" s="35">
        <f t="shared" si="373"/>
        <v>0</v>
      </c>
      <c r="AW179" s="35">
        <f t="shared" si="374"/>
        <v>0</v>
      </c>
      <c r="AX179" s="35"/>
      <c r="AY179" s="87">
        <f t="shared" si="338"/>
        <v>0</v>
      </c>
      <c r="AZ179" s="77" t="str">
        <f t="shared" si="339"/>
        <v xml:space="preserve">   </v>
      </c>
      <c r="BA179" s="87">
        <f>IF($A179&gt;AY$191, 0, IF($A179=AY$191, AZ179*SUM(AY179:AY$181)*AY$194/AY$195, SUM(AY179:AY$181)*AZ179))</f>
        <v>0</v>
      </c>
      <c r="BB179" s="61"/>
      <c r="BC179" s="87">
        <f t="shared" si="340"/>
        <v>0</v>
      </c>
      <c r="BD179" s="77" t="str">
        <f t="shared" si="341"/>
        <v xml:space="preserve">   </v>
      </c>
      <c r="BE179" s="87">
        <f>IF($A179&gt;BC$191, 0, IF($A179=BC$191, BD179*SUM(BC179:BC$181)*BC$194/BC$195, SUM(BC179:BC$181)*BD179))</f>
        <v>0</v>
      </c>
      <c r="BF179" s="61"/>
      <c r="BG179" s="87">
        <f t="shared" si="342"/>
        <v>0</v>
      </c>
      <c r="BH179" s="77" t="str">
        <f t="shared" si="343"/>
        <v xml:space="preserve">   </v>
      </c>
      <c r="BI179" s="87">
        <f>IF($A179&gt;BG$191, 0, IF($A179=BG$191, BH179*SUM(BG179:BG$181)*BG$194/BG$195, SUM(BG179:BG$181)*BH179))</f>
        <v>0</v>
      </c>
      <c r="BJ179" s="61"/>
      <c r="BK179" s="35">
        <f t="shared" si="364"/>
        <v>0</v>
      </c>
      <c r="BL179" s="35">
        <f t="shared" si="365"/>
        <v>0</v>
      </c>
      <c r="BM179" s="8"/>
      <c r="BN179" s="87">
        <f t="shared" si="344"/>
        <v>0</v>
      </c>
      <c r="BO179" s="77" t="str">
        <f t="shared" si="345"/>
        <v xml:space="preserve">   </v>
      </c>
      <c r="BP179" s="87">
        <f>IF($A179&gt;BN$191, 0, IF($A179=BN$191, BO179*SUM(BN179:BN$181)*BN$194/BN$195, SUM(BN179:BN$181)*BO179))</f>
        <v>0</v>
      </c>
      <c r="BQ179" s="77"/>
      <c r="BR179" s="87"/>
      <c r="BS179" s="77"/>
      <c r="BT179" s="87"/>
      <c r="BU179" s="87"/>
      <c r="BV179" s="35">
        <f t="shared" si="366"/>
        <v>0</v>
      </c>
      <c r="BW179" s="35">
        <f t="shared" si="367"/>
        <v>0</v>
      </c>
      <c r="BX179" s="87"/>
      <c r="BY179" s="87">
        <f t="shared" si="346"/>
        <v>0</v>
      </c>
      <c r="BZ179" s="77" t="str">
        <f t="shared" si="347"/>
        <v xml:space="preserve">   </v>
      </c>
      <c r="CA179" s="87">
        <f>IF($A179&gt;BY$191, 0, IF($A179=BY$191, BZ179*SUM(BY179:BY$181)*BY$194/BY$195, SUM(BY179:BY$181)*BZ179))</f>
        <v>0</v>
      </c>
      <c r="CB179" s="87"/>
      <c r="CC179" s="87">
        <f t="shared" si="348"/>
        <v>0</v>
      </c>
      <c r="CD179" s="77" t="str">
        <f t="shared" si="349"/>
        <v xml:space="preserve">   </v>
      </c>
      <c r="CE179" s="87">
        <f>IF($A179&gt;CC$191, 0, IF($A179=CC$191, CD179*SUM(CC179:CC$181)*CC$194/CC$195, SUM(CC179:CC$181)*CD179))</f>
        <v>0</v>
      </c>
      <c r="CF179" s="87"/>
      <c r="CG179" s="87"/>
      <c r="CH179" s="77"/>
      <c r="CI179" s="87"/>
      <c r="CJ179" s="87"/>
      <c r="CK179" s="87">
        <f t="shared" si="350"/>
        <v>0</v>
      </c>
      <c r="CL179" s="77" t="str">
        <f t="shared" si="351"/>
        <v xml:space="preserve">   </v>
      </c>
      <c r="CM179" s="87">
        <f>IF($A179&gt;CK$191, 0, IF($A179=CK$191, CL179*SUM(CK179:CK$181)*CK$194/CK$195, SUM(CK179:CK$181)*CL179))</f>
        <v>0</v>
      </c>
      <c r="CN179" s="87"/>
      <c r="CO179" s="162">
        <f t="shared" si="352"/>
        <v>0</v>
      </c>
      <c r="CP179" s="87">
        <f t="shared" si="353"/>
        <v>0</v>
      </c>
      <c r="CQ179" s="6"/>
      <c r="CR179" s="87">
        <f t="shared" si="354"/>
        <v>0</v>
      </c>
      <c r="CS179" s="77" t="str">
        <f t="shared" si="355"/>
        <v xml:space="preserve">   </v>
      </c>
      <c r="CT179" s="87">
        <f>IF($A179&gt;CR$191, 0, IF($A179=CR$191, CS179*SUM(CR179:CR$181)*CR$194/CR$195, SUM(CR179:CR$181)*CS179))</f>
        <v>0</v>
      </c>
      <c r="CZ179" s="165">
        <f t="shared" si="356"/>
        <v>0</v>
      </c>
      <c r="DA179" s="165">
        <f t="shared" si="357"/>
        <v>0</v>
      </c>
      <c r="DB179" s="87"/>
      <c r="DC179" s="87">
        <f t="shared" si="358"/>
        <v>0</v>
      </c>
      <c r="DD179" s="77" t="str">
        <f t="shared" si="359"/>
        <v xml:space="preserve">   </v>
      </c>
      <c r="DE179" s="87">
        <f>IF($A179&gt;DC$191, 0, IF($A179=DC$191, DD179*SUM(DC179:DC$181)*DC$194/DC$195, SUM(DC179:DC$181)*DD179))</f>
        <v>0</v>
      </c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W179" s="165">
        <f t="shared" si="368"/>
        <v>0</v>
      </c>
      <c r="DX179" s="165">
        <f t="shared" si="369"/>
        <v>0</v>
      </c>
      <c r="DY179" s="87"/>
      <c r="DZ179" s="53">
        <f t="shared" si="360"/>
        <v>2058</v>
      </c>
      <c r="EA179" s="35">
        <f t="shared" si="361"/>
        <v>0</v>
      </c>
      <c r="EB179" s="35">
        <f t="shared" si="362"/>
        <v>0</v>
      </c>
      <c r="ED179" s="181">
        <f t="shared" si="370"/>
        <v>35</v>
      </c>
    </row>
    <row r="180" spans="1:134" s="33" customFormat="1" outlineLevel="1">
      <c r="A180" s="7">
        <f t="shared" si="363"/>
        <v>2059</v>
      </c>
      <c r="B180" s="151">
        <f>Assumptions!B43</f>
        <v>5.3800000000000001E-2</v>
      </c>
      <c r="C180" s="151">
        <f>Assumptions!C43</f>
        <v>5.3800000000000001E-2</v>
      </c>
      <c r="D180" s="151">
        <f>Assumptions!D43</f>
        <v>3.5000000000000003E-2</v>
      </c>
      <c r="E180" s="151">
        <f>Assumptions!E43</f>
        <v>5.2999999999999999E-2</v>
      </c>
      <c r="F180" s="8"/>
      <c r="G180" s="8"/>
      <c r="H180" s="8"/>
      <c r="I180" s="8"/>
      <c r="J180" s="8"/>
      <c r="K180" s="8"/>
      <c r="L180" s="8"/>
      <c r="M180" s="87">
        <f t="shared" si="320"/>
        <v>0</v>
      </c>
      <c r="N180" s="77" t="str">
        <f t="shared" si="321"/>
        <v xml:space="preserve">   </v>
      </c>
      <c r="O180" s="87">
        <f>IF($A180&gt;M$191, 0, IF($A180=M$191, N180*SUM(M180:M$181)*M$194/M$195, SUM(M180:M$181)*N180))</f>
        <v>0</v>
      </c>
      <c r="P180" s="35"/>
      <c r="Q180" s="87">
        <f t="shared" si="322"/>
        <v>0</v>
      </c>
      <c r="R180" s="77" t="str">
        <f t="shared" si="323"/>
        <v xml:space="preserve">   </v>
      </c>
      <c r="S180" s="87">
        <f>IF($A180&gt;Q$191, 0, IF($A180=Q$191, R180*SUM(Q180:Q$181)*Q$194/Q$195, SUM(Q180:Q$181)*R180))</f>
        <v>0</v>
      </c>
      <c r="T180" s="35"/>
      <c r="U180" s="35">
        <f t="shared" si="371"/>
        <v>0</v>
      </c>
      <c r="V180" s="35">
        <f t="shared" si="372"/>
        <v>0</v>
      </c>
      <c r="W180" s="35"/>
      <c r="X180" s="87">
        <f t="shared" si="326"/>
        <v>0</v>
      </c>
      <c r="Y180" s="77" t="str">
        <f t="shared" si="327"/>
        <v xml:space="preserve">   </v>
      </c>
      <c r="Z180" s="87">
        <f>IF($A180&gt;X$191, 0, IF($A180=X$191, Y180*SUM(X180:X$181)*X$194/X$195, SUM(X180:X$181)*Y180))</f>
        <v>0</v>
      </c>
      <c r="AA180" s="87"/>
      <c r="AB180" s="87">
        <f t="shared" si="328"/>
        <v>0</v>
      </c>
      <c r="AC180" s="77" t="str">
        <f t="shared" si="329"/>
        <v xml:space="preserve">   </v>
      </c>
      <c r="AD180" s="87">
        <f>IF($A180&gt;AB$191, 0, IF($A180=AB$191, AC180*SUM(AB180:AB$181)*AB$194/AB$195, SUM(AB180:AB$181)*AC180))</f>
        <v>0</v>
      </c>
      <c r="AE180" s="35"/>
      <c r="AF180" s="87">
        <f t="shared" si="330"/>
        <v>0</v>
      </c>
      <c r="AG180" s="77" t="str">
        <f t="shared" si="331"/>
        <v xml:space="preserve">   </v>
      </c>
      <c r="AH180" s="87">
        <f>IF($A180&gt;AF$191, 0, IF($A180=AF$191, AG180*SUM(AF180:AF$181)*AF$194/AF$195, SUM(AF180:AF$181)*AG180))</f>
        <v>0</v>
      </c>
      <c r="AI180" s="35"/>
      <c r="AJ180" s="87"/>
      <c r="AK180" s="77"/>
      <c r="AL180" s="87"/>
      <c r="AM180" s="35"/>
      <c r="AN180" s="87">
        <f t="shared" si="332"/>
        <v>0</v>
      </c>
      <c r="AO180" s="77" t="str">
        <f t="shared" si="333"/>
        <v xml:space="preserve">   </v>
      </c>
      <c r="AP180" s="87">
        <f>IF($A180&gt;AN$191, 0, IF($A180=AN$191, AO180*SUM(AN180:AN$181)*AN$194/AN$195, SUM(AN180:AN$181)*AO180))</f>
        <v>0</v>
      </c>
      <c r="AQ180" s="35"/>
      <c r="AR180" s="87">
        <f t="shared" si="334"/>
        <v>0</v>
      </c>
      <c r="AS180" s="77" t="str">
        <f t="shared" si="335"/>
        <v xml:space="preserve">   </v>
      </c>
      <c r="AT180" s="87">
        <f>IF($A180&gt;AR$191, 0, IF($A180=AR$191, AS180*SUM(AR180:AR$181)*AR$194/AR$195, SUM(AR180:AR$181)*AS180))</f>
        <v>0</v>
      </c>
      <c r="AV180" s="35">
        <f t="shared" si="373"/>
        <v>0</v>
      </c>
      <c r="AW180" s="35">
        <f t="shared" si="374"/>
        <v>0</v>
      </c>
      <c r="AX180" s="35"/>
      <c r="AY180" s="87">
        <f t="shared" si="338"/>
        <v>0</v>
      </c>
      <c r="AZ180" s="77" t="str">
        <f t="shared" si="339"/>
        <v xml:space="preserve">   </v>
      </c>
      <c r="BA180" s="87">
        <f>IF($A180&gt;AY$191, 0, IF($A180=AY$191, AZ180*SUM(AY180:AY$181)*AY$194/AY$195, SUM(AY180:AY$181)*AZ180))</f>
        <v>0</v>
      </c>
      <c r="BB180" s="61"/>
      <c r="BC180" s="87">
        <f t="shared" si="340"/>
        <v>0</v>
      </c>
      <c r="BD180" s="77" t="str">
        <f t="shared" si="341"/>
        <v xml:space="preserve">   </v>
      </c>
      <c r="BE180" s="87">
        <f>IF($A180&gt;BC$191, 0, IF($A180=BC$191, BD180*SUM(BC180:BC$181)*BC$194/BC$195, SUM(BC180:BC$181)*BD180))</f>
        <v>0</v>
      </c>
      <c r="BF180" s="61"/>
      <c r="BG180" s="87">
        <f t="shared" si="342"/>
        <v>0</v>
      </c>
      <c r="BH180" s="77" t="str">
        <f t="shared" si="343"/>
        <v xml:space="preserve">   </v>
      </c>
      <c r="BI180" s="87">
        <f>IF($A180&gt;BG$191, 0, IF($A180=BG$191, BH180*SUM(BG180:BG$181)*BG$194/BG$195, SUM(BG180:BG$181)*BH180))</f>
        <v>0</v>
      </c>
      <c r="BJ180" s="61"/>
      <c r="BK180" s="35">
        <f t="shared" si="364"/>
        <v>0</v>
      </c>
      <c r="BL180" s="35">
        <f t="shared" si="365"/>
        <v>0</v>
      </c>
      <c r="BM180" s="8"/>
      <c r="BN180" s="87">
        <f t="shared" si="344"/>
        <v>0</v>
      </c>
      <c r="BO180" s="77" t="str">
        <f t="shared" si="345"/>
        <v xml:space="preserve">   </v>
      </c>
      <c r="BP180" s="87">
        <f>IF($A180&gt;BN$191, 0, IF($A180=BN$191, BO180*SUM(BN180:BN$181)*BN$194/BN$195, SUM(BN180:BN$181)*BO180))</f>
        <v>0</v>
      </c>
      <c r="BQ180" s="77"/>
      <c r="BR180" s="87"/>
      <c r="BS180" s="77"/>
      <c r="BT180" s="87"/>
      <c r="BU180" s="87"/>
      <c r="BV180" s="35">
        <f t="shared" si="366"/>
        <v>0</v>
      </c>
      <c r="BW180" s="35">
        <f t="shared" si="367"/>
        <v>0</v>
      </c>
      <c r="BX180" s="87"/>
      <c r="BY180" s="87">
        <f t="shared" si="346"/>
        <v>0</v>
      </c>
      <c r="BZ180" s="77" t="str">
        <f t="shared" si="347"/>
        <v xml:space="preserve">   </v>
      </c>
      <c r="CA180" s="87">
        <f>IF($A180&gt;BY$191, 0, IF($A180=BY$191, BZ180*SUM(BY180:BY$181)*BY$194/BY$195, SUM(BY180:BY$181)*BZ180))</f>
        <v>0</v>
      </c>
      <c r="CB180" s="87"/>
      <c r="CC180" s="87">
        <f t="shared" si="348"/>
        <v>0</v>
      </c>
      <c r="CD180" s="77" t="str">
        <f t="shared" si="349"/>
        <v xml:space="preserve">   </v>
      </c>
      <c r="CE180" s="87">
        <f>IF($A180&gt;CC$191, 0, IF($A180=CC$191, CD180*SUM(CC180:CC$181)*CC$194/CC$195, SUM(CC180:CC$181)*CD180))</f>
        <v>0</v>
      </c>
      <c r="CF180" s="87"/>
      <c r="CG180" s="87"/>
      <c r="CH180" s="77"/>
      <c r="CI180" s="87"/>
      <c r="CJ180" s="87"/>
      <c r="CK180" s="87">
        <f t="shared" si="350"/>
        <v>0</v>
      </c>
      <c r="CL180" s="77" t="str">
        <f t="shared" si="351"/>
        <v xml:space="preserve">   </v>
      </c>
      <c r="CM180" s="87">
        <f>IF($A180&gt;CK$191, 0, IF($A180=CK$191, CL180*SUM(CK180:CK$181)*CK$194/CK$195, SUM(CK180:CK$181)*CL180))</f>
        <v>0</v>
      </c>
      <c r="CN180" s="87"/>
      <c r="CO180" s="162">
        <f t="shared" si="352"/>
        <v>0</v>
      </c>
      <c r="CP180" s="87">
        <f t="shared" si="353"/>
        <v>0</v>
      </c>
      <c r="CQ180" s="6"/>
      <c r="CR180" s="87">
        <f t="shared" si="354"/>
        <v>0</v>
      </c>
      <c r="CS180" s="77" t="str">
        <f t="shared" si="355"/>
        <v xml:space="preserve">   </v>
      </c>
      <c r="CT180" s="87">
        <f>IF($A180&gt;CR$191, 0, IF($A180=CR$191, CS180*SUM(CR180:CR$181)*CR$194/CR$195, SUM(CR180:CR$181)*CS180))</f>
        <v>0</v>
      </c>
      <c r="CZ180" s="165">
        <f t="shared" si="356"/>
        <v>0</v>
      </c>
      <c r="DA180" s="165">
        <f t="shared" si="357"/>
        <v>0</v>
      </c>
      <c r="DB180" s="87"/>
      <c r="DC180" s="87">
        <f t="shared" si="358"/>
        <v>0</v>
      </c>
      <c r="DD180" s="77" t="str">
        <f t="shared" si="359"/>
        <v xml:space="preserve">   </v>
      </c>
      <c r="DE180" s="87">
        <f>IF($A180&gt;DC$191, 0, IF($A180=DC$191, DD180*SUM(DC180:DC$181)*DC$194/DC$195, SUM(DC180:DC$181)*DD180))</f>
        <v>0</v>
      </c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7"/>
      <c r="DU180" s="87"/>
      <c r="DW180" s="165">
        <f t="shared" si="368"/>
        <v>0</v>
      </c>
      <c r="DX180" s="165">
        <f t="shared" si="369"/>
        <v>0</v>
      </c>
      <c r="DY180" s="87"/>
      <c r="DZ180" s="53">
        <f t="shared" si="360"/>
        <v>2059</v>
      </c>
      <c r="EA180" s="35">
        <f t="shared" si="361"/>
        <v>0</v>
      </c>
      <c r="EB180" s="35">
        <f t="shared" si="362"/>
        <v>0</v>
      </c>
      <c r="ED180" s="181">
        <f t="shared" si="370"/>
        <v>36</v>
      </c>
    </row>
    <row r="181" spans="1:134" s="33" customFormat="1" outlineLevel="1">
      <c r="A181" s="7">
        <f t="shared" si="363"/>
        <v>2060</v>
      </c>
      <c r="B181" s="151">
        <f>Assumptions!B44</f>
        <v>5.3800000000000001E-2</v>
      </c>
      <c r="C181" s="151">
        <f>Assumptions!C44</f>
        <v>5.3800000000000001E-2</v>
      </c>
      <c r="D181" s="151">
        <f>Assumptions!D44</f>
        <v>3.5000000000000003E-2</v>
      </c>
      <c r="E181" s="151">
        <f>Assumptions!E44</f>
        <v>5.2999999999999999E-2</v>
      </c>
      <c r="F181" s="8"/>
      <c r="G181" s="8"/>
      <c r="H181" s="8"/>
      <c r="I181" s="8"/>
      <c r="J181" s="8"/>
      <c r="K181" s="8"/>
      <c r="L181" s="8"/>
      <c r="M181" s="87">
        <f t="shared" si="320"/>
        <v>0</v>
      </c>
      <c r="N181" s="77" t="str">
        <f t="shared" si="321"/>
        <v xml:space="preserve">   </v>
      </c>
      <c r="O181" s="87">
        <f>IF($A181&gt;M$191, 0, IF($A181=M$191, N181*SUM(M181:M$181)*M$194/M$195, SUM(M181:M$181)*N181))</f>
        <v>0</v>
      </c>
      <c r="P181" s="35"/>
      <c r="Q181" s="87">
        <f t="shared" si="322"/>
        <v>0</v>
      </c>
      <c r="R181" s="77" t="str">
        <f t="shared" si="323"/>
        <v xml:space="preserve">   </v>
      </c>
      <c r="S181" s="87">
        <f>IF($A181&gt;Q$191, 0, IF($A181=Q$191, R181*SUM(Q181:Q$181)*Q$194/Q$195, SUM(Q181:Q$181)*R181))</f>
        <v>0</v>
      </c>
      <c r="T181" s="35"/>
      <c r="U181" s="35">
        <f t="shared" si="371"/>
        <v>0</v>
      </c>
      <c r="V181" s="35">
        <f t="shared" si="372"/>
        <v>0</v>
      </c>
      <c r="W181" s="35"/>
      <c r="X181" s="87">
        <f t="shared" si="326"/>
        <v>0</v>
      </c>
      <c r="Y181" s="77" t="str">
        <f t="shared" si="327"/>
        <v xml:space="preserve">   </v>
      </c>
      <c r="Z181" s="87">
        <f>IF($A181&gt;X$191, 0, IF($A181=X$191, Y181*SUM(X181:X$181)*X$194/X$195, SUM(X181:X$181)*Y181))</f>
        <v>0</v>
      </c>
      <c r="AA181" s="87"/>
      <c r="AB181" s="87">
        <f t="shared" si="328"/>
        <v>0</v>
      </c>
      <c r="AC181" s="77" t="str">
        <f t="shared" si="329"/>
        <v xml:space="preserve">   </v>
      </c>
      <c r="AD181" s="87">
        <f>IF($A181&gt;AB$191, 0, IF($A181=AB$191, AC181*SUM(AB181:AB$181)*AB$194/AB$195, SUM(AB181:AB$181)*AC181))</f>
        <v>0</v>
      </c>
      <c r="AE181" s="35"/>
      <c r="AF181" s="87">
        <f t="shared" si="330"/>
        <v>0</v>
      </c>
      <c r="AG181" s="77" t="str">
        <f t="shared" si="331"/>
        <v xml:space="preserve">   </v>
      </c>
      <c r="AH181" s="87">
        <f>IF($A181&gt;AF$191, 0, IF($A181=AF$191, AG181*SUM(AF181:AF$181)*AF$194/AF$195, SUM(AF181:AF$181)*AG181))</f>
        <v>0</v>
      </c>
      <c r="AI181" s="35"/>
      <c r="AJ181" s="87"/>
      <c r="AK181" s="77"/>
      <c r="AL181" s="87"/>
      <c r="AM181" s="35"/>
      <c r="AN181" s="87">
        <f t="shared" si="332"/>
        <v>0</v>
      </c>
      <c r="AO181" s="77" t="str">
        <f t="shared" si="333"/>
        <v xml:space="preserve">   </v>
      </c>
      <c r="AP181" s="87">
        <f>IF($A181&gt;AN$191, 0, IF($A181=AN$191, AO181*SUM(AN181:AN$181)*AN$194/AN$195, SUM(AN181:AN$181)*AO181))</f>
        <v>0</v>
      </c>
      <c r="AQ181" s="35"/>
      <c r="AR181" s="87">
        <f t="shared" si="334"/>
        <v>0</v>
      </c>
      <c r="AS181" s="77" t="str">
        <f t="shared" si="335"/>
        <v xml:space="preserve">   </v>
      </c>
      <c r="AT181" s="87">
        <f>IF($A181&gt;AR$191, 0, IF($A181=AR$191, AS181*SUM(AR181:AR$181)*AR$194/AR$195, SUM(AR181:AR$181)*AS181))</f>
        <v>0</v>
      </c>
      <c r="AV181" s="35">
        <f t="shared" si="373"/>
        <v>0</v>
      </c>
      <c r="AW181" s="35">
        <f t="shared" si="374"/>
        <v>0</v>
      </c>
      <c r="AX181" s="35"/>
      <c r="AY181" s="87">
        <f t="shared" si="338"/>
        <v>0</v>
      </c>
      <c r="AZ181" s="77" t="str">
        <f t="shared" si="339"/>
        <v xml:space="preserve">   </v>
      </c>
      <c r="BA181" s="87">
        <f>IF($A181&gt;AY$191, 0, IF($A181=AY$191, AZ181*SUM(AY181:AY$181)*AY$194/AY$195, SUM(AY181:AY$181)*AZ181))</f>
        <v>0</v>
      </c>
      <c r="BB181" s="61"/>
      <c r="BC181" s="87">
        <f t="shared" si="340"/>
        <v>0</v>
      </c>
      <c r="BD181" s="77" t="str">
        <f t="shared" si="341"/>
        <v xml:space="preserve">   </v>
      </c>
      <c r="BE181" s="87">
        <f>IF($A181&gt;BC$191, 0, IF($A181=BC$191, BD181*SUM(BC181:BC$181)*BC$194/BC$195, SUM(BC181:BC$181)*BD181))</f>
        <v>0</v>
      </c>
      <c r="BF181" s="61"/>
      <c r="BG181" s="87">
        <f t="shared" si="342"/>
        <v>0</v>
      </c>
      <c r="BH181" s="77" t="str">
        <f t="shared" si="343"/>
        <v xml:space="preserve">   </v>
      </c>
      <c r="BI181" s="87">
        <f>IF($A181&gt;BG$191, 0, IF($A181=BG$191, BH181*SUM(BG181:BG$181)*BG$194/BG$195, SUM(BG181:BG$181)*BH181))</f>
        <v>0</v>
      </c>
      <c r="BJ181" s="61"/>
      <c r="BK181" s="35">
        <f t="shared" si="364"/>
        <v>0</v>
      </c>
      <c r="BL181" s="35">
        <f t="shared" si="365"/>
        <v>0</v>
      </c>
      <c r="BM181" s="8"/>
      <c r="BN181" s="87">
        <f t="shared" si="344"/>
        <v>0</v>
      </c>
      <c r="BO181" s="77" t="str">
        <f t="shared" si="345"/>
        <v xml:space="preserve">   </v>
      </c>
      <c r="BP181" s="87">
        <f>IF($A181&gt;BN$191, 0, IF($A181=BN$191, BO181*SUM(BN181:BN$181)*BN$194/BN$195, SUM(BN181:BN$181)*BO181))</f>
        <v>0</v>
      </c>
      <c r="BQ181" s="77"/>
      <c r="BR181" s="87"/>
      <c r="BS181" s="77"/>
      <c r="BT181" s="87"/>
      <c r="BU181" s="87"/>
      <c r="BV181" s="35">
        <f t="shared" si="366"/>
        <v>0</v>
      </c>
      <c r="BW181" s="35">
        <f t="shared" si="367"/>
        <v>0</v>
      </c>
      <c r="BX181" s="87"/>
      <c r="BY181" s="87">
        <f t="shared" si="346"/>
        <v>0</v>
      </c>
      <c r="BZ181" s="77" t="str">
        <f t="shared" si="347"/>
        <v xml:space="preserve">   </v>
      </c>
      <c r="CA181" s="87">
        <f>IF($A181&gt;BY$191, 0, IF($A181=BY$191, BZ181*SUM(BY181:BY$181)*BY$194/BY$195, SUM(BY181:BY$181)*BZ181))</f>
        <v>0</v>
      </c>
      <c r="CB181" s="87"/>
      <c r="CC181" s="87">
        <f t="shared" si="348"/>
        <v>0</v>
      </c>
      <c r="CD181" s="77" t="str">
        <f t="shared" si="349"/>
        <v xml:space="preserve">   </v>
      </c>
      <c r="CE181" s="87">
        <f>IF($A181&gt;CC$191, 0, IF($A181=CC$191, CD181*SUM(CC181:CC$181)*CC$194/CC$195, SUM(CC181:CC$181)*CD181))</f>
        <v>0</v>
      </c>
      <c r="CF181" s="87"/>
      <c r="CG181" s="87"/>
      <c r="CH181" s="77"/>
      <c r="CI181" s="87"/>
      <c r="CJ181" s="87"/>
      <c r="CK181" s="87">
        <f t="shared" si="350"/>
        <v>0</v>
      </c>
      <c r="CL181" s="77" t="str">
        <f t="shared" si="351"/>
        <v xml:space="preserve">   </v>
      </c>
      <c r="CM181" s="87">
        <f>IF($A181&gt;CK$191, 0, IF($A181=CK$191, CL181*SUM(CK181:CK$181)*CK$194/CK$195, SUM(CK181:CK$181)*CL181))</f>
        <v>0</v>
      </c>
      <c r="CN181" s="87"/>
      <c r="CO181" s="162">
        <f t="shared" si="352"/>
        <v>0</v>
      </c>
      <c r="CP181" s="87">
        <f t="shared" si="353"/>
        <v>0</v>
      </c>
      <c r="CQ181" s="6"/>
      <c r="CR181" s="87">
        <f t="shared" si="354"/>
        <v>0</v>
      </c>
      <c r="CS181" s="77" t="str">
        <f t="shared" si="355"/>
        <v xml:space="preserve">   </v>
      </c>
      <c r="CT181" s="87">
        <f>IF($A181&gt;CR$191, 0, IF($A181=CR$191, CS181*SUM(CR181:CR$181)*CR$194/CR$195, SUM(CR181:CR$181)*CS181))</f>
        <v>0</v>
      </c>
      <c r="CZ181" s="165">
        <f t="shared" si="356"/>
        <v>0</v>
      </c>
      <c r="DA181" s="165">
        <f t="shared" si="357"/>
        <v>0</v>
      </c>
      <c r="DB181" s="87"/>
      <c r="DC181" s="87">
        <f t="shared" si="358"/>
        <v>0</v>
      </c>
      <c r="DD181" s="77" t="str">
        <f t="shared" si="359"/>
        <v xml:space="preserve">   </v>
      </c>
      <c r="DE181" s="87">
        <f>IF($A181&gt;DC$191, 0, IF($A181=DC$191, DD181*SUM(DC181:DC$181)*DC$194/DC$195, SUM(DC181:DC$181)*DD181))</f>
        <v>0</v>
      </c>
      <c r="DF181" s="87"/>
      <c r="DG181" s="87"/>
      <c r="DH181" s="87"/>
      <c r="DI181" s="87"/>
      <c r="DJ181" s="87"/>
      <c r="DK181" s="87"/>
      <c r="DL181" s="87"/>
      <c r="DM181" s="87"/>
      <c r="DN181" s="87"/>
      <c r="DO181" s="87"/>
      <c r="DP181" s="87"/>
      <c r="DQ181" s="87"/>
      <c r="DR181" s="87"/>
      <c r="DS181" s="87"/>
      <c r="DT181" s="87"/>
      <c r="DU181" s="87"/>
      <c r="DW181" s="165">
        <f t="shared" si="368"/>
        <v>0</v>
      </c>
      <c r="DX181" s="165">
        <f t="shared" si="369"/>
        <v>0</v>
      </c>
      <c r="DY181" s="87"/>
      <c r="DZ181" s="53">
        <f t="shared" si="360"/>
        <v>2060</v>
      </c>
      <c r="EA181" s="35">
        <f t="shared" si="361"/>
        <v>0</v>
      </c>
      <c r="EB181" s="35">
        <f t="shared" si="362"/>
        <v>0</v>
      </c>
      <c r="ED181" s="181">
        <f t="shared" si="370"/>
        <v>37</v>
      </c>
    </row>
    <row r="182" spans="1:134" s="6" customFormat="1" ht="7" outlineLevel="1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7"/>
      <c r="N182" s="97"/>
      <c r="O182" s="99"/>
      <c r="P182" s="99"/>
      <c r="Q182" s="97"/>
      <c r="R182" s="97"/>
      <c r="S182" s="99"/>
      <c r="T182" s="99"/>
      <c r="U182" s="99"/>
      <c r="V182" s="99"/>
      <c r="W182" s="99"/>
      <c r="X182" s="97"/>
      <c r="Y182" s="97"/>
      <c r="Z182" s="99"/>
      <c r="AA182" s="100"/>
      <c r="AB182" s="97"/>
      <c r="AC182" s="97"/>
      <c r="AD182" s="99"/>
      <c r="AE182" s="99"/>
      <c r="AF182" s="99"/>
      <c r="AG182" s="96"/>
      <c r="AH182" s="96"/>
      <c r="AI182" s="99"/>
      <c r="AJ182" s="99"/>
      <c r="AK182" s="102"/>
      <c r="AL182" s="98"/>
      <c r="AM182" s="99"/>
      <c r="AN182" s="99"/>
      <c r="AO182" s="96"/>
      <c r="AP182" s="98"/>
      <c r="AQ182" s="99"/>
      <c r="AR182" s="99"/>
      <c r="AS182" s="96"/>
      <c r="AT182" s="98"/>
      <c r="AV182" s="99"/>
      <c r="AW182" s="99"/>
      <c r="AX182" s="99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99"/>
      <c r="BL182" s="99"/>
      <c r="BM182" s="96"/>
      <c r="BN182" s="103"/>
      <c r="BO182" s="103"/>
      <c r="BP182" s="103"/>
      <c r="BQ182" s="102"/>
      <c r="BR182" s="99"/>
      <c r="BS182" s="102"/>
      <c r="BT182" s="100"/>
      <c r="BU182" s="100"/>
      <c r="BV182" s="99"/>
      <c r="BW182" s="99"/>
      <c r="BX182" s="100"/>
      <c r="BY182" s="103"/>
      <c r="BZ182" s="103"/>
      <c r="CA182" s="103"/>
      <c r="CB182" s="100"/>
      <c r="CC182" s="103"/>
      <c r="CD182" s="103"/>
      <c r="CE182" s="103"/>
      <c r="CF182" s="100"/>
      <c r="CG182" s="100"/>
      <c r="CH182" s="184"/>
      <c r="CI182" s="100"/>
      <c r="CJ182" s="100"/>
      <c r="CK182" s="103"/>
      <c r="CL182" s="103"/>
      <c r="CM182" s="103"/>
      <c r="CN182" s="100"/>
      <c r="CO182" s="100"/>
      <c r="CP182" s="100"/>
      <c r="CQ182" s="104"/>
      <c r="CR182" s="103"/>
      <c r="CS182" s="103"/>
      <c r="CT182" s="103"/>
      <c r="CZ182" s="100"/>
      <c r="DA182" s="100"/>
      <c r="DB182" s="100"/>
      <c r="DC182" s="103"/>
      <c r="DD182" s="103"/>
      <c r="DE182" s="103"/>
      <c r="DF182" s="100"/>
      <c r="DG182" s="100"/>
      <c r="DH182" s="100"/>
      <c r="DI182" s="100"/>
      <c r="DJ182" s="100"/>
      <c r="DK182" s="100"/>
      <c r="DL182" s="100"/>
      <c r="DM182" s="100"/>
      <c r="DN182" s="100"/>
      <c r="DO182" s="100"/>
      <c r="DP182" s="100"/>
      <c r="DQ182" s="100"/>
      <c r="DR182" s="100"/>
      <c r="DS182" s="100"/>
      <c r="DT182" s="100"/>
      <c r="DU182" s="100"/>
      <c r="DW182" s="100"/>
      <c r="DX182" s="100"/>
      <c r="DY182" s="100"/>
      <c r="DZ182" s="99"/>
      <c r="EA182" s="104"/>
      <c r="EB182" s="104"/>
    </row>
    <row r="183" spans="1:134" s="33" customFormat="1" ht="16" outlineLevel="1">
      <c r="A183" s="38" t="s">
        <v>7</v>
      </c>
      <c r="B183" s="38"/>
      <c r="C183" s="8"/>
      <c r="D183" s="8"/>
      <c r="E183" s="8"/>
      <c r="F183" s="8"/>
      <c r="G183" s="8"/>
      <c r="H183" s="8"/>
      <c r="I183" s="8"/>
      <c r="J183" s="8"/>
      <c r="K183" s="8"/>
      <c r="L183" s="38"/>
      <c r="M183" s="88">
        <f>SUM(M145:M174)</f>
        <v>6815000</v>
      </c>
      <c r="N183" s="88"/>
      <c r="O183" s="88">
        <f>SUM(O145:O174)</f>
        <v>854714.58333333349</v>
      </c>
      <c r="P183" s="88"/>
      <c r="Q183" s="88">
        <f>SUM(Q145:Q174)</f>
        <v>10000000</v>
      </c>
      <c r="R183" s="88"/>
      <c r="S183" s="88">
        <f>SUM(S145:S174)</f>
        <v>1254166.666666667</v>
      </c>
      <c r="T183" s="88"/>
      <c r="U183" s="88">
        <f>SUM(U145:U174)</f>
        <v>16815000</v>
      </c>
      <c r="V183" s="88">
        <f>SUM(V145:V174)</f>
        <v>2108881.2500000005</v>
      </c>
      <c r="W183" s="88"/>
      <c r="X183" s="88">
        <f>SUM(X145:X174)</f>
        <v>219535000</v>
      </c>
      <c r="Y183" s="88"/>
      <c r="Z183" s="88">
        <f>SUM(Z145:Z174)</f>
        <v>30792271.813333336</v>
      </c>
      <c r="AA183" s="88"/>
      <c r="AB183" s="88">
        <f>SUM(AB145:AB174)</f>
        <v>125000000</v>
      </c>
      <c r="AC183" s="88"/>
      <c r="AD183" s="88">
        <f>SUM(AD145:AD174)</f>
        <v>37552083.333333336</v>
      </c>
      <c r="AE183" s="88"/>
      <c r="AF183" s="88">
        <f>SUM(AF145:AF174)</f>
        <v>10000000</v>
      </c>
      <c r="AG183" s="88"/>
      <c r="AH183" s="88">
        <f>SUM(AH145:AH174)</f>
        <v>4725000.0000000009</v>
      </c>
      <c r="AI183" s="88"/>
      <c r="AJ183" s="88"/>
      <c r="AK183" s="88"/>
      <c r="AL183" s="88"/>
      <c r="AM183" s="88"/>
      <c r="AN183" s="88">
        <f>SUM(AN145:AN174)</f>
        <v>50000000</v>
      </c>
      <c r="AO183" s="88"/>
      <c r="AP183" s="88">
        <f>SUM(AP145:AP174)</f>
        <v>6699000</v>
      </c>
      <c r="AQ183" s="88"/>
      <c r="AR183" s="88">
        <f>SUM(AR145:AR174)</f>
        <v>50000000</v>
      </c>
      <c r="AS183" s="88"/>
      <c r="AT183" s="88">
        <f>SUM(AT145:AT174)</f>
        <v>25960500</v>
      </c>
      <c r="AV183" s="88">
        <f>SUM(AV145:AV174)</f>
        <v>110000000</v>
      </c>
      <c r="AW183" s="88">
        <f>SUM(AW145:AW174)</f>
        <v>37384500</v>
      </c>
      <c r="AX183" s="88"/>
      <c r="AY183" s="89">
        <f>SUM(AY145:AY181)</f>
        <v>10000000</v>
      </c>
      <c r="AZ183" s="89"/>
      <c r="BA183" s="89">
        <f>SUM(BA145:BA181)</f>
        <v>3412500.0000000005</v>
      </c>
      <c r="BB183" s="89"/>
      <c r="BC183" s="89">
        <f>SUM(BC145:BC181)</f>
        <v>30000000</v>
      </c>
      <c r="BD183" s="89"/>
      <c r="BE183" s="89">
        <f>SUM(BE145:BE181)</f>
        <v>25987500</v>
      </c>
      <c r="BF183" s="89"/>
      <c r="BG183" s="89">
        <f>SUM(BG145:BG181)</f>
        <v>75000000</v>
      </c>
      <c r="BH183" s="89"/>
      <c r="BI183" s="89">
        <f>SUM(BI145:BI181)</f>
        <v>64968750.000000007</v>
      </c>
      <c r="BJ183" s="89"/>
      <c r="BK183" s="88">
        <f>SUM(BK145:BK181)</f>
        <v>115000000</v>
      </c>
      <c r="BL183" s="88">
        <f>SUM(BL145:BL181)</f>
        <v>94368750.000000015</v>
      </c>
      <c r="BM183" s="39"/>
      <c r="BN183" s="89">
        <f>SUM(BN145:BN181)</f>
        <v>50000000</v>
      </c>
      <c r="BO183" s="89"/>
      <c r="BP183" s="89">
        <f>SUM(BP145:BP181)</f>
        <v>1736625.0000000002</v>
      </c>
      <c r="BQ183" s="39"/>
      <c r="BR183" s="88"/>
      <c r="BS183" s="39"/>
      <c r="BT183" s="88"/>
      <c r="BU183" s="88"/>
      <c r="BV183" s="88">
        <f>SUM(BV145:BV181)</f>
        <v>50000000</v>
      </c>
      <c r="BW183" s="88">
        <f>SUM(BW145:BW181)</f>
        <v>1736625.0000000002</v>
      </c>
      <c r="BX183" s="88"/>
      <c r="BY183" s="89">
        <f>SUM(BY145:BY181)</f>
        <v>45000000</v>
      </c>
      <c r="BZ183" s="89"/>
      <c r="CA183" s="89">
        <f>SUM(CA145:CA181)</f>
        <v>9187500.0000000019</v>
      </c>
      <c r="CB183" s="88"/>
      <c r="CC183" s="89">
        <f>SUM(CC145:CC181)</f>
        <v>5000000</v>
      </c>
      <c r="CD183" s="89"/>
      <c r="CE183" s="89">
        <f>SUM(CE145:CE181)</f>
        <v>1093750.0000000002</v>
      </c>
      <c r="CF183" s="88"/>
      <c r="CG183" s="89"/>
      <c r="CH183" s="185"/>
      <c r="CI183" s="89"/>
      <c r="CJ183" s="89"/>
      <c r="CK183" s="89">
        <f>SUM(CK145:CK181)</f>
        <v>75000000</v>
      </c>
      <c r="CL183" s="89"/>
      <c r="CM183" s="89">
        <f>SUM(CM145:CM181)</f>
        <v>87281250.000000015</v>
      </c>
      <c r="CN183" s="88"/>
      <c r="CO183" s="88">
        <f>SUM(CO145:CO181)</f>
        <v>80000000</v>
      </c>
      <c r="CP183" s="88">
        <f>SUM(CP145:CP181)</f>
        <v>88375000.000000015</v>
      </c>
      <c r="CQ183" s="39"/>
      <c r="CR183" s="89">
        <f>SUM(CR145:CR181)</f>
        <v>22000000</v>
      </c>
      <c r="CS183" s="89"/>
      <c r="CT183" s="89">
        <f>SUM(CT145:CT181)</f>
        <v>4042500.0000000005</v>
      </c>
      <c r="CZ183" s="88">
        <f>SUM(CZ145:CZ181)</f>
        <v>22000000</v>
      </c>
      <c r="DA183" s="88">
        <f>SUM(DA145:DA181)</f>
        <v>4042500.0000000005</v>
      </c>
      <c r="DB183" s="88"/>
      <c r="DC183" s="89">
        <f>SUM(DC145:DC181)</f>
        <v>141030000</v>
      </c>
      <c r="DD183" s="89"/>
      <c r="DE183" s="89">
        <f>SUM(DE145:DE181)</f>
        <v>52367043.750000007</v>
      </c>
      <c r="DF183" s="88"/>
      <c r="DG183" s="88"/>
      <c r="DH183" s="88"/>
      <c r="DI183" s="88"/>
      <c r="DJ183" s="88"/>
      <c r="DK183" s="88"/>
      <c r="DL183" s="88"/>
      <c r="DM183" s="88"/>
      <c r="DN183" s="88"/>
      <c r="DO183" s="88"/>
      <c r="DP183" s="88"/>
      <c r="DQ183" s="88"/>
      <c r="DR183" s="88"/>
      <c r="DS183" s="88"/>
      <c r="DT183" s="88"/>
      <c r="DU183" s="88"/>
      <c r="DW183" s="88">
        <f>SUM(DW145:DW182)</f>
        <v>563030000</v>
      </c>
      <c r="DX183" s="88">
        <f>SUM(DX145:DX182)</f>
        <v>287461918.75</v>
      </c>
      <c r="DY183" s="88"/>
      <c r="DZ183" s="39"/>
      <c r="EA183" s="39">
        <f>SUM(EA145:EA181)</f>
        <v>924380000</v>
      </c>
      <c r="EB183" s="39">
        <f>SUM(EB145:EB181)</f>
        <v>357915155.14666671</v>
      </c>
    </row>
    <row r="184" spans="1:134" outlineLevel="1"/>
    <row r="185" spans="1:134" s="68" customFormat="1" outlineLevel="1">
      <c r="A185" s="226" t="s">
        <v>145</v>
      </c>
      <c r="B185" s="226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66" t="s">
        <v>137</v>
      </c>
      <c r="N185" s="66"/>
      <c r="O185" s="66"/>
      <c r="P185" s="66"/>
      <c r="Q185" s="66" t="s">
        <v>138</v>
      </c>
      <c r="U185" s="66" t="s">
        <v>1</v>
      </c>
      <c r="X185" s="66" t="s">
        <v>143</v>
      </c>
      <c r="AB185" s="66" t="s">
        <v>144</v>
      </c>
      <c r="AC185" s="66"/>
      <c r="AD185" s="66"/>
      <c r="AE185" s="66"/>
      <c r="AF185" s="66" t="s">
        <v>108</v>
      </c>
      <c r="AG185" s="66"/>
      <c r="AH185" s="66"/>
      <c r="AI185" s="66"/>
      <c r="AJ185" s="66"/>
      <c r="AK185" s="66"/>
      <c r="AL185" s="66"/>
      <c r="AM185" s="66"/>
      <c r="AN185" s="66" t="s">
        <v>110</v>
      </c>
      <c r="AO185" s="66"/>
      <c r="AP185" s="66"/>
      <c r="AQ185" s="66"/>
      <c r="AR185" s="66" t="s">
        <v>111</v>
      </c>
      <c r="AS185" s="66"/>
      <c r="AT185" s="66"/>
      <c r="AU185" s="66"/>
      <c r="AV185" s="66" t="s">
        <v>2</v>
      </c>
      <c r="AY185" s="68" t="s">
        <v>149</v>
      </c>
      <c r="BC185" s="66" t="s">
        <v>150</v>
      </c>
      <c r="BD185" s="66"/>
      <c r="BE185" s="66"/>
      <c r="BF185" s="66"/>
      <c r="BG185" s="66" t="s">
        <v>151</v>
      </c>
      <c r="BH185" s="66"/>
      <c r="BI185" s="66"/>
      <c r="BJ185" s="66"/>
      <c r="BK185" s="66" t="s">
        <v>98</v>
      </c>
      <c r="BN185" s="66" t="str">
        <f>'Debt Service'!BN52</f>
        <v>2020 B Series</v>
      </c>
      <c r="BR185" s="66"/>
      <c r="BV185" s="66" t="s">
        <v>133</v>
      </c>
      <c r="BY185" s="66" t="s">
        <v>162</v>
      </c>
      <c r="BZ185"/>
      <c r="CA185"/>
      <c r="CB185"/>
      <c r="CC185" s="186" t="str">
        <f>CC122</f>
        <v>2022 A Series</v>
      </c>
      <c r="CG185" s="186"/>
      <c r="CK185" s="68" t="str">
        <f>CK122</f>
        <v>2022 C Series</v>
      </c>
      <c r="CR185" s="68" t="str">
        <f>CR122</f>
        <v>2022 D Series</v>
      </c>
      <c r="DC185" s="68" t="str">
        <f>DC122</f>
        <v>2023 Series</v>
      </c>
    </row>
    <row r="186" spans="1:134" outlineLevel="1">
      <c r="A186" s="234" t="s">
        <v>123</v>
      </c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15">
        <v>18000000</v>
      </c>
      <c r="N186" s="15"/>
      <c r="O186" s="15"/>
      <c r="P186" s="15"/>
      <c r="Q186" s="127">
        <v>10000000</v>
      </c>
      <c r="U186" s="29">
        <f>M186+Q186</f>
        <v>28000000</v>
      </c>
      <c r="X186" s="127">
        <v>250000000</v>
      </c>
      <c r="AB186" s="127">
        <v>125000000</v>
      </c>
      <c r="AF186" s="15">
        <v>10000000</v>
      </c>
      <c r="AJ186" s="15"/>
      <c r="AN186" s="15">
        <v>50000000</v>
      </c>
      <c r="AR186" s="127">
        <v>50000000</v>
      </c>
      <c r="AV186" s="29">
        <f>AF186+AJ186+AN186+AR186</f>
        <v>110000000</v>
      </c>
      <c r="AY186" s="15">
        <v>10000000</v>
      </c>
      <c r="BC186" s="15">
        <v>30000000</v>
      </c>
      <c r="BG186" s="127">
        <v>75000000</v>
      </c>
      <c r="BK186" s="29">
        <f>AY186+BC186+BG186</f>
        <v>115000000</v>
      </c>
      <c r="BN186" s="64">
        <v>50000000</v>
      </c>
      <c r="BR186" s="145"/>
      <c r="BV186" s="29">
        <f>BN186+BR186</f>
        <v>50000000</v>
      </c>
      <c r="BY186" s="15">
        <v>45000000</v>
      </c>
      <c r="CC186" s="186">
        <f>CC123</f>
        <v>5000000</v>
      </c>
      <c r="CG186" s="145"/>
      <c r="CK186" s="29">
        <f>CK123</f>
        <v>75000000</v>
      </c>
      <c r="CR186" s="29">
        <f>CR123</f>
        <v>22000000</v>
      </c>
      <c r="DC186" s="29">
        <f>DC123</f>
        <v>141030000</v>
      </c>
    </row>
    <row r="187" spans="1:134" outlineLevel="1">
      <c r="A187" s="234" t="s">
        <v>136</v>
      </c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19" t="s">
        <v>16</v>
      </c>
      <c r="N187" s="19"/>
      <c r="O187" s="19"/>
      <c r="P187" s="19"/>
      <c r="Q187" s="19" t="s">
        <v>16</v>
      </c>
      <c r="X187" s="19" t="s">
        <v>16</v>
      </c>
      <c r="AB187" s="19" t="s">
        <v>16</v>
      </c>
      <c r="AF187" s="19" t="s">
        <v>16</v>
      </c>
      <c r="AJ187" s="19"/>
      <c r="AN187" s="19" t="s">
        <v>16</v>
      </c>
      <c r="AR187" s="19" t="s">
        <v>16</v>
      </c>
      <c r="AY187" s="19" t="s">
        <v>16</v>
      </c>
      <c r="BC187" s="19" t="s">
        <v>16</v>
      </c>
      <c r="BG187" s="19" t="s">
        <v>16</v>
      </c>
      <c r="BN187" s="142" t="s">
        <v>16</v>
      </c>
      <c r="BR187" s="142"/>
      <c r="BY187" s="19" t="s">
        <v>16</v>
      </c>
      <c r="CC187" s="142" t="s">
        <v>16</v>
      </c>
      <c r="CG187" s="142"/>
      <c r="CK187" s="18" t="s">
        <v>16</v>
      </c>
      <c r="CR187" s="18" t="s">
        <v>16</v>
      </c>
      <c r="DC187" s="18" t="s">
        <v>16</v>
      </c>
    </row>
    <row r="188" spans="1:134" outlineLevel="1">
      <c r="A188" s="234" t="s">
        <v>113</v>
      </c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19">
        <v>1</v>
      </c>
      <c r="N188" s="19"/>
      <c r="O188" s="19"/>
      <c r="P188" s="19"/>
      <c r="Q188" s="19">
        <v>1</v>
      </c>
      <c r="X188" s="19">
        <v>1</v>
      </c>
      <c r="AB188" s="19">
        <v>1</v>
      </c>
      <c r="AF188" s="19">
        <v>1</v>
      </c>
      <c r="AJ188" s="19"/>
      <c r="AN188" s="19">
        <v>1</v>
      </c>
      <c r="AR188" s="19">
        <v>1</v>
      </c>
      <c r="AY188" s="19">
        <v>1</v>
      </c>
      <c r="BC188" s="19">
        <v>1</v>
      </c>
      <c r="BG188" s="19">
        <v>1</v>
      </c>
      <c r="BN188" s="142">
        <v>1</v>
      </c>
      <c r="BR188" s="142"/>
      <c r="BY188" s="19">
        <v>1</v>
      </c>
      <c r="CC188" s="142">
        <v>1</v>
      </c>
      <c r="CG188" s="142"/>
      <c r="CK188" s="11">
        <v>1</v>
      </c>
      <c r="CR188" s="11">
        <v>1</v>
      </c>
      <c r="DC188" s="11">
        <v>1</v>
      </c>
    </row>
    <row r="189" spans="1:134" outlineLevel="1">
      <c r="A189" s="234" t="s">
        <v>96</v>
      </c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19">
        <v>0</v>
      </c>
      <c r="N189" s="19"/>
      <c r="O189" s="19"/>
      <c r="P189" s="19"/>
      <c r="Q189" s="19">
        <v>0</v>
      </c>
      <c r="X189" s="90">
        <v>-4.9439999999999996E-3</v>
      </c>
      <c r="AB189" s="19">
        <v>0</v>
      </c>
      <c r="AF189" s="19">
        <v>0</v>
      </c>
      <c r="AJ189" s="19"/>
      <c r="AN189" s="19">
        <v>3.2799999999999999E-3</v>
      </c>
      <c r="AR189" s="19">
        <v>3.46E-3</v>
      </c>
      <c r="AY189" s="19">
        <v>0</v>
      </c>
      <c r="BC189" s="19">
        <v>0</v>
      </c>
      <c r="BG189" s="19">
        <v>0</v>
      </c>
      <c r="BN189" s="142">
        <v>2.8900000000000002E-3</v>
      </c>
      <c r="BR189" s="142"/>
      <c r="BY189" s="19">
        <v>0</v>
      </c>
      <c r="CC189" s="142">
        <v>0</v>
      </c>
      <c r="CG189" s="142"/>
      <c r="CK189" s="11">
        <v>0</v>
      </c>
      <c r="CR189" s="11">
        <v>0</v>
      </c>
      <c r="DC189" s="11">
        <v>0</v>
      </c>
    </row>
    <row r="190" spans="1:134" outlineLevel="1">
      <c r="A190" s="234" t="s">
        <v>135</v>
      </c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AN190" s="19"/>
    </row>
    <row r="191" spans="1:134" outlineLevel="1">
      <c r="A191" s="250" t="s">
        <v>4</v>
      </c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18">
        <v>2027</v>
      </c>
      <c r="N191" s="18"/>
      <c r="O191" s="18"/>
      <c r="P191" s="18"/>
      <c r="Q191" s="18">
        <v>2027</v>
      </c>
      <c r="X191" s="18">
        <v>2028</v>
      </c>
      <c r="AB191" s="18">
        <v>2032</v>
      </c>
      <c r="AF191" s="18">
        <v>2037</v>
      </c>
      <c r="AJ191" s="18"/>
      <c r="AN191" s="18">
        <v>2027</v>
      </c>
      <c r="AR191" s="18">
        <v>2037</v>
      </c>
      <c r="AV191" s="18">
        <f>MAX(AF191:AR191)</f>
        <v>2037</v>
      </c>
      <c r="AY191" s="18">
        <v>2033</v>
      </c>
      <c r="BC191" s="18">
        <v>2048</v>
      </c>
      <c r="BG191" s="18">
        <v>2048</v>
      </c>
      <c r="BN191" s="66">
        <f>'Debt Service'!BN58</f>
        <v>2024</v>
      </c>
      <c r="BR191" s="18"/>
      <c r="BY191" s="18">
        <v>2029</v>
      </c>
      <c r="CC191" s="18">
        <v>2030</v>
      </c>
      <c r="CG191" s="18"/>
      <c r="CK191" s="18">
        <f>CK58</f>
        <v>2057</v>
      </c>
      <c r="CR191" s="18">
        <f>CR58</f>
        <v>2029</v>
      </c>
      <c r="DC191" s="18">
        <f>DC130</f>
        <v>2035</v>
      </c>
    </row>
    <row r="192" spans="1:134" outlineLevel="1">
      <c r="A192" s="250" t="s">
        <v>115</v>
      </c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85">
        <v>46569</v>
      </c>
      <c r="N192" s="85"/>
      <c r="O192" s="85"/>
      <c r="P192" s="85"/>
      <c r="Q192" s="85">
        <v>46569</v>
      </c>
      <c r="X192" s="85">
        <v>46966</v>
      </c>
      <c r="AB192" s="85">
        <v>48396</v>
      </c>
      <c r="AF192" s="85">
        <v>50192</v>
      </c>
      <c r="AJ192" s="85"/>
      <c r="AN192" s="85">
        <v>46539</v>
      </c>
      <c r="AR192" s="85">
        <v>50192</v>
      </c>
      <c r="AV192" s="85">
        <f>MAX(AF192:AR192)</f>
        <v>50192</v>
      </c>
      <c r="AY192" s="85">
        <v>48823</v>
      </c>
      <c r="BC192" s="85">
        <v>54302</v>
      </c>
      <c r="BG192" s="85">
        <v>54302</v>
      </c>
      <c r="BN192" s="85">
        <v>45597</v>
      </c>
      <c r="BR192" s="85"/>
      <c r="BY192" s="85">
        <v>47392</v>
      </c>
      <c r="CC192" s="85">
        <v>47543</v>
      </c>
      <c r="CG192" s="85"/>
      <c r="CK192" s="85">
        <f>CK61</f>
        <v>57405</v>
      </c>
      <c r="CR192" s="85">
        <f>CR61</f>
        <v>47178</v>
      </c>
      <c r="DC192" s="85">
        <f>DC61</f>
        <v>49369</v>
      </c>
    </row>
    <row r="193" spans="1:137" outlineLevel="1">
      <c r="A193" s="234" t="s">
        <v>34</v>
      </c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Q193" s="18"/>
    </row>
    <row r="194" spans="1:137" outlineLevel="1">
      <c r="A194" s="250" t="s">
        <v>140</v>
      </c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18">
        <v>7</v>
      </c>
      <c r="Q194" s="18">
        <v>7</v>
      </c>
      <c r="X194" s="18">
        <v>8</v>
      </c>
      <c r="AB194" s="18">
        <v>7</v>
      </c>
      <c r="AF194" s="18">
        <v>6</v>
      </c>
      <c r="AJ194" s="18"/>
      <c r="AN194" s="18">
        <v>6</v>
      </c>
      <c r="AR194" s="18">
        <v>6</v>
      </c>
      <c r="AY194" s="18">
        <v>9</v>
      </c>
      <c r="BC194" s="18">
        <v>9</v>
      </c>
      <c r="BG194" s="18">
        <v>9</v>
      </c>
      <c r="BN194" s="18">
        <v>11</v>
      </c>
      <c r="BR194" s="18"/>
      <c r="BY194" s="18">
        <v>10</v>
      </c>
      <c r="CC194" s="18">
        <v>3</v>
      </c>
      <c r="CG194" s="18"/>
      <c r="CK194" s="18">
        <v>3</v>
      </c>
      <c r="CR194" s="18">
        <v>3</v>
      </c>
      <c r="DC194" s="18">
        <v>3</v>
      </c>
    </row>
    <row r="195" spans="1:137" outlineLevel="1">
      <c r="A195" s="250" t="s">
        <v>139</v>
      </c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18">
        <v>12</v>
      </c>
      <c r="Q195" s="18">
        <v>12</v>
      </c>
      <c r="X195" s="18">
        <v>12</v>
      </c>
      <c r="AB195" s="18">
        <v>12</v>
      </c>
      <c r="AF195" s="18">
        <v>12</v>
      </c>
      <c r="AJ195" s="18"/>
      <c r="AN195" s="18">
        <v>12</v>
      </c>
      <c r="AR195" s="18">
        <v>12</v>
      </c>
      <c r="AY195" s="18">
        <v>12</v>
      </c>
      <c r="BC195" s="18">
        <v>12</v>
      </c>
      <c r="BG195" s="18">
        <v>12</v>
      </c>
      <c r="BN195" s="18">
        <v>12</v>
      </c>
      <c r="BR195" s="18"/>
      <c r="BY195" s="18">
        <v>12</v>
      </c>
      <c r="CC195" s="18">
        <v>12</v>
      </c>
      <c r="CG195" s="18"/>
      <c r="CK195" s="18">
        <v>12</v>
      </c>
      <c r="CR195" s="18">
        <v>12</v>
      </c>
      <c r="DC195" s="18">
        <v>12</v>
      </c>
    </row>
    <row r="196" spans="1:137" outlineLevel="1">
      <c r="A196" s="234"/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</row>
    <row r="197" spans="1:137" outlineLevel="1">
      <c r="A197" s="250" t="s">
        <v>153</v>
      </c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85">
        <f>M192</f>
        <v>46569</v>
      </c>
      <c r="Q197" s="85">
        <f>Q192</f>
        <v>46569</v>
      </c>
      <c r="X197" s="85">
        <f>X192</f>
        <v>46966</v>
      </c>
      <c r="AB197" s="85">
        <f>AB192</f>
        <v>48396</v>
      </c>
      <c r="AF197" s="85">
        <f>AF192</f>
        <v>50192</v>
      </c>
      <c r="AJ197" s="85"/>
      <c r="AN197" s="85">
        <f>AN192</f>
        <v>46539</v>
      </c>
      <c r="AR197" s="85">
        <f>AR192</f>
        <v>50192</v>
      </c>
      <c r="AY197" s="85">
        <f>AY192</f>
        <v>48823</v>
      </c>
      <c r="BC197" s="85">
        <v>46722</v>
      </c>
      <c r="BG197" s="85">
        <v>46722</v>
      </c>
      <c r="BY197" s="85">
        <f>BY192</f>
        <v>47392</v>
      </c>
      <c r="CC197" s="85">
        <f>CC192</f>
        <v>47543</v>
      </c>
      <c r="CK197" s="85">
        <v>46447</v>
      </c>
      <c r="CR197" s="85">
        <f>CR192</f>
        <v>47178</v>
      </c>
    </row>
    <row r="198" spans="1:137">
      <c r="AA198" s="18"/>
    </row>
    <row r="199" spans="1:137" ht="14">
      <c r="A199" s="260" t="s">
        <v>183</v>
      </c>
      <c r="B199" s="260"/>
      <c r="C199" s="260"/>
      <c r="D199" s="260"/>
      <c r="E199" s="260"/>
      <c r="F199" s="260"/>
      <c r="G199" s="260"/>
      <c r="H199" s="260"/>
      <c r="I199" s="260"/>
      <c r="J199" s="260"/>
      <c r="K199" s="260"/>
      <c r="L199" s="260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  <c r="AR199" s="163"/>
      <c r="AS199" s="163"/>
      <c r="AT199" s="163"/>
      <c r="AU199" s="163"/>
      <c r="AV199" s="163"/>
      <c r="AW199" s="163"/>
      <c r="AX199" s="163"/>
      <c r="AY199" s="163"/>
      <c r="AZ199" s="163"/>
      <c r="BA199" s="163"/>
      <c r="BB199" s="163"/>
      <c r="BC199" s="163"/>
      <c r="BD199" s="163"/>
      <c r="BE199" s="163"/>
      <c r="BF199" s="163"/>
      <c r="BG199" s="163"/>
      <c r="BH199" s="163"/>
      <c r="BI199" s="163"/>
      <c r="BJ199" s="163"/>
      <c r="BK199" s="163"/>
      <c r="BL199" s="163"/>
      <c r="BM199" s="163"/>
      <c r="BN199" s="163"/>
      <c r="BO199" s="163"/>
      <c r="BP199" s="163"/>
      <c r="BQ199" s="163"/>
      <c r="BR199" s="163"/>
      <c r="BS199" s="163"/>
      <c r="BT199" s="163"/>
      <c r="BU199" s="163"/>
      <c r="BV199" s="163"/>
      <c r="BW199" s="163"/>
      <c r="BX199" s="163"/>
      <c r="BY199" s="163"/>
      <c r="BZ199" s="163"/>
      <c r="CA199" s="163"/>
      <c r="CB199" s="163"/>
      <c r="CC199" s="163"/>
      <c r="CD199" s="163"/>
      <c r="CE199" s="163"/>
      <c r="CF199" s="163"/>
      <c r="CG199" s="163"/>
      <c r="CH199" s="163"/>
      <c r="CI199" s="163"/>
      <c r="CJ199" s="163"/>
      <c r="CK199" s="163"/>
      <c r="CL199" s="163"/>
      <c r="CM199" s="163"/>
      <c r="CN199" s="163"/>
      <c r="CO199" s="163"/>
      <c r="CP199" s="163"/>
      <c r="CQ199" s="163"/>
      <c r="CR199" s="163"/>
      <c r="CS199" s="163"/>
      <c r="CT199" s="163"/>
      <c r="CU199" s="163"/>
      <c r="CV199" s="163"/>
      <c r="CW199" s="163"/>
      <c r="CX199" s="163"/>
      <c r="CY199" s="163"/>
      <c r="CZ199" s="163"/>
      <c r="DA199" s="163"/>
      <c r="DB199" s="163"/>
      <c r="DC199" s="163"/>
      <c r="DD199" s="163"/>
      <c r="DE199" s="163"/>
      <c r="DF199" s="163"/>
      <c r="DG199" s="163"/>
      <c r="DH199" s="163"/>
      <c r="DI199" s="163"/>
      <c r="DJ199" s="163"/>
      <c r="DK199" s="163"/>
      <c r="DL199" s="163"/>
      <c r="DM199" s="163"/>
      <c r="DN199" s="163"/>
      <c r="DO199" s="163"/>
      <c r="DP199" s="163"/>
      <c r="DQ199" s="163"/>
      <c r="DR199" s="163"/>
      <c r="DS199" s="163"/>
      <c r="DT199" s="163"/>
      <c r="DU199" s="163"/>
      <c r="DV199" s="163"/>
      <c r="DW199" s="163"/>
      <c r="DX199" s="163"/>
      <c r="DY199" s="163"/>
      <c r="DZ199" s="163"/>
      <c r="EA199" s="163"/>
      <c r="EB199" s="163"/>
      <c r="EC199" s="163"/>
    </row>
    <row r="200" spans="1:137" ht="14">
      <c r="A200" s="260"/>
      <c r="B200" s="260"/>
      <c r="C200" s="260"/>
      <c r="D200" s="260"/>
      <c r="E200" s="260"/>
      <c r="F200" s="260"/>
      <c r="G200" s="260"/>
      <c r="H200" s="260"/>
      <c r="I200" s="260"/>
      <c r="J200" s="260"/>
      <c r="K200" s="260"/>
      <c r="L200" s="260"/>
      <c r="M200" s="124"/>
      <c r="N200" s="124"/>
      <c r="O200" s="124"/>
      <c r="P200" s="124"/>
      <c r="Q200" s="124"/>
      <c r="R200" s="124"/>
      <c r="S200" s="124"/>
      <c r="T200" s="124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  <c r="AR200" s="163"/>
      <c r="AS200" s="163"/>
      <c r="AT200" s="163"/>
      <c r="AU200" s="163"/>
      <c r="AV200" s="163"/>
      <c r="AW200" s="163"/>
      <c r="AX200" s="163"/>
      <c r="AY200" s="163"/>
      <c r="AZ200" s="163"/>
      <c r="BA200" s="163"/>
      <c r="BB200" s="163"/>
      <c r="BC200" s="163"/>
      <c r="BD200" s="163"/>
      <c r="BE200" s="163"/>
      <c r="BF200" s="163"/>
      <c r="BG200" s="163"/>
      <c r="BH200" s="163"/>
      <c r="BI200" s="163"/>
      <c r="BJ200" s="163"/>
      <c r="BK200" s="163"/>
      <c r="BL200" s="163"/>
      <c r="BM200" s="163"/>
      <c r="BN200" s="163"/>
      <c r="BO200" s="163"/>
      <c r="BP200" s="163"/>
      <c r="BQ200" s="163"/>
      <c r="BR200" s="163"/>
      <c r="BS200" s="163"/>
      <c r="BT200" s="163"/>
      <c r="BU200" s="163"/>
      <c r="BV200" s="163"/>
      <c r="BW200" s="163"/>
      <c r="BX200" s="163"/>
      <c r="BY200" s="163"/>
      <c r="BZ200" s="163"/>
      <c r="CA200" s="163"/>
      <c r="CB200" s="163"/>
      <c r="CC200" s="163"/>
      <c r="CD200" s="163"/>
      <c r="CE200" s="163"/>
      <c r="CF200" s="163"/>
      <c r="CG200" s="163"/>
      <c r="CH200" s="163"/>
      <c r="CI200" s="163"/>
      <c r="CJ200" s="163"/>
      <c r="CK200" s="163"/>
      <c r="CL200" s="163"/>
      <c r="CM200" s="163"/>
      <c r="CN200" s="163"/>
      <c r="CO200" s="163"/>
      <c r="CP200" s="163"/>
      <c r="CQ200" s="163"/>
      <c r="CR200" s="163"/>
      <c r="CS200" s="163"/>
      <c r="CT200" s="163"/>
      <c r="CU200" s="163"/>
      <c r="CV200" s="163"/>
      <c r="CW200" s="163"/>
      <c r="CX200" s="163"/>
      <c r="CY200" s="163"/>
      <c r="CZ200" s="163"/>
      <c r="DA200" s="163"/>
      <c r="DB200" s="163"/>
      <c r="DC200" s="163"/>
      <c r="DD200" s="163"/>
      <c r="DE200" s="163"/>
      <c r="DF200" s="163"/>
      <c r="DG200" s="163"/>
      <c r="DH200" s="163"/>
      <c r="DI200" s="163"/>
      <c r="DJ200" s="163"/>
      <c r="DK200" s="163"/>
      <c r="DL200" s="163"/>
      <c r="DM200" s="163"/>
      <c r="DN200" s="163"/>
      <c r="DO200" s="163"/>
      <c r="DP200" s="163"/>
      <c r="DQ200" s="163"/>
      <c r="DR200" s="163"/>
      <c r="DS200" s="163"/>
      <c r="DT200" s="163"/>
      <c r="DU200" s="163"/>
      <c r="DV200" s="163"/>
      <c r="DW200" s="163"/>
      <c r="DX200" s="163"/>
      <c r="DY200" s="163"/>
      <c r="DZ200" s="163"/>
      <c r="EA200" s="163"/>
      <c r="EB200" s="163"/>
      <c r="EC200" s="163"/>
    </row>
    <row r="201" spans="1:137" outlineLevel="1">
      <c r="A201" s="10">
        <f>1</f>
        <v>1</v>
      </c>
      <c r="B201" s="10">
        <f t="shared" ref="B201" si="375">A201+1</f>
        <v>2</v>
      </c>
      <c r="C201" s="10">
        <f t="shared" ref="C201" si="376">B201+1</f>
        <v>3</v>
      </c>
      <c r="D201" s="10">
        <f t="shared" ref="D201" si="377">C201+1</f>
        <v>4</v>
      </c>
      <c r="E201" s="10">
        <f t="shared" ref="E201" si="378">D201+1</f>
        <v>5</v>
      </c>
      <c r="F201" s="10">
        <f t="shared" ref="F201" si="379">E201+1</f>
        <v>6</v>
      </c>
      <c r="G201" s="10">
        <f t="shared" ref="G201" si="380">F201+1</f>
        <v>7</v>
      </c>
      <c r="H201" s="10">
        <f t="shared" ref="H201" si="381">G201+1</f>
        <v>8</v>
      </c>
      <c r="I201" s="10">
        <f t="shared" ref="I201" si="382">H201+1</f>
        <v>9</v>
      </c>
      <c r="J201" s="10">
        <f t="shared" ref="J201" si="383">I201+1</f>
        <v>10</v>
      </c>
      <c r="K201" s="10">
        <f t="shared" ref="K201" si="384">J201+1</f>
        <v>11</v>
      </c>
      <c r="L201" s="10">
        <f t="shared" ref="L201" si="385">K201+1</f>
        <v>12</v>
      </c>
      <c r="M201" s="10">
        <f t="shared" ref="M201" si="386">L201+1</f>
        <v>13</v>
      </c>
      <c r="N201" s="10">
        <f t="shared" ref="N201" si="387">M201+1</f>
        <v>14</v>
      </c>
      <c r="O201" s="10">
        <f t="shared" ref="O201" si="388">N201+1</f>
        <v>15</v>
      </c>
      <c r="P201" s="10">
        <f t="shared" ref="P201" si="389">O201+1</f>
        <v>16</v>
      </c>
      <c r="Q201" s="10">
        <f t="shared" ref="Q201" si="390">P201+1</f>
        <v>17</v>
      </c>
      <c r="R201" s="10">
        <f t="shared" ref="R201" si="391">Q201+1</f>
        <v>18</v>
      </c>
      <c r="S201" s="10">
        <f t="shared" ref="S201" si="392">R201+1</f>
        <v>19</v>
      </c>
      <c r="T201" s="10">
        <f t="shared" ref="T201" si="393">S201+1</f>
        <v>20</v>
      </c>
      <c r="U201" s="10">
        <f t="shared" ref="U201" si="394">T201+1</f>
        <v>21</v>
      </c>
      <c r="V201" s="10">
        <f t="shared" ref="V201" si="395">U201+1</f>
        <v>22</v>
      </c>
      <c r="W201" s="10">
        <f t="shared" ref="W201" si="396">V201+1</f>
        <v>23</v>
      </c>
      <c r="X201" s="10">
        <f t="shared" ref="X201" si="397">W201+1</f>
        <v>24</v>
      </c>
      <c r="Y201" s="10">
        <f t="shared" ref="Y201" si="398">X201+1</f>
        <v>25</v>
      </c>
      <c r="Z201" s="10">
        <f t="shared" ref="Z201" si="399">Y201+1</f>
        <v>26</v>
      </c>
      <c r="AA201" s="10">
        <f t="shared" ref="AA201" si="400">Z201+1</f>
        <v>27</v>
      </c>
      <c r="AB201" s="10">
        <f t="shared" ref="AB201" si="401">AA201+1</f>
        <v>28</v>
      </c>
      <c r="AC201" s="10">
        <f t="shared" ref="AC201" si="402">AB201+1</f>
        <v>29</v>
      </c>
      <c r="AD201" s="10">
        <f t="shared" ref="AD201" si="403">AC201+1</f>
        <v>30</v>
      </c>
      <c r="AE201" s="10">
        <f t="shared" ref="AE201" si="404">AD201+1</f>
        <v>31</v>
      </c>
      <c r="AF201" s="10">
        <f t="shared" ref="AF201" si="405">AE201+1</f>
        <v>32</v>
      </c>
      <c r="AG201" s="10">
        <f t="shared" ref="AG201" si="406">AF201+1</f>
        <v>33</v>
      </c>
      <c r="AH201" s="10">
        <f t="shared" ref="AH201" si="407">AG201+1</f>
        <v>34</v>
      </c>
      <c r="AI201" s="10">
        <f t="shared" ref="AI201" si="408">AH201+1</f>
        <v>35</v>
      </c>
      <c r="AJ201" s="10">
        <f t="shared" ref="AJ201" si="409">AI201+1</f>
        <v>36</v>
      </c>
      <c r="AK201" s="10">
        <f t="shared" ref="AK201" si="410">AJ201+1</f>
        <v>37</v>
      </c>
      <c r="AL201" s="10">
        <f t="shared" ref="AL201" si="411">AK201+1</f>
        <v>38</v>
      </c>
      <c r="AM201" s="10">
        <f t="shared" ref="AM201" si="412">AL201+1</f>
        <v>39</v>
      </c>
      <c r="AN201" s="10">
        <f t="shared" ref="AN201" si="413">AM201+1</f>
        <v>40</v>
      </c>
      <c r="AO201" s="10">
        <f t="shared" ref="AO201" si="414">AN201+1</f>
        <v>41</v>
      </c>
      <c r="AP201" s="10">
        <f t="shared" ref="AP201" si="415">AO201+1</f>
        <v>42</v>
      </c>
      <c r="AQ201" s="10">
        <f t="shared" ref="AQ201" si="416">AP201+1</f>
        <v>43</v>
      </c>
      <c r="AR201" s="10">
        <f t="shared" ref="AR201" si="417">AQ201+1</f>
        <v>44</v>
      </c>
      <c r="AS201" s="10">
        <f t="shared" ref="AS201" si="418">AR201+1</f>
        <v>45</v>
      </c>
      <c r="AT201" s="10">
        <f t="shared" ref="AT201" si="419">AS201+1</f>
        <v>46</v>
      </c>
      <c r="AU201" s="10">
        <f t="shared" ref="AU201" si="420">AT201+1</f>
        <v>47</v>
      </c>
      <c r="AV201" s="10">
        <f t="shared" ref="AV201" si="421">AU201+1</f>
        <v>48</v>
      </c>
      <c r="AW201" s="10">
        <f t="shared" ref="AW201" si="422">AV201+1</f>
        <v>49</v>
      </c>
      <c r="AX201" s="10">
        <f t="shared" ref="AX201" si="423">AW201+1</f>
        <v>50</v>
      </c>
      <c r="AY201" s="10">
        <f t="shared" ref="AY201" si="424">AX201+1</f>
        <v>51</v>
      </c>
      <c r="AZ201" s="10">
        <f t="shared" ref="AZ201" si="425">AY201+1</f>
        <v>52</v>
      </c>
      <c r="BA201" s="10">
        <f t="shared" ref="BA201" si="426">AZ201+1</f>
        <v>53</v>
      </c>
      <c r="BB201" s="10">
        <f t="shared" ref="BB201" si="427">BA201+1</f>
        <v>54</v>
      </c>
      <c r="BC201" s="10">
        <f t="shared" ref="BC201" si="428">BB201+1</f>
        <v>55</v>
      </c>
      <c r="BD201" s="10">
        <f t="shared" ref="BD201" si="429">BC201+1</f>
        <v>56</v>
      </c>
      <c r="BE201" s="10">
        <f t="shared" ref="BE201" si="430">BD201+1</f>
        <v>57</v>
      </c>
      <c r="BF201" s="10">
        <f t="shared" ref="BF201" si="431">BE201+1</f>
        <v>58</v>
      </c>
      <c r="BG201" s="10">
        <f t="shared" ref="BG201" si="432">BF201+1</f>
        <v>59</v>
      </c>
      <c r="BH201" s="10">
        <f t="shared" ref="BH201" si="433">BG201+1</f>
        <v>60</v>
      </c>
      <c r="BI201" s="10">
        <f t="shared" ref="BI201" si="434">BH201+1</f>
        <v>61</v>
      </c>
      <c r="BJ201" s="10">
        <f t="shared" ref="BJ201" si="435">BI201+1</f>
        <v>62</v>
      </c>
      <c r="BK201" s="10">
        <f t="shared" ref="BK201" si="436">BJ201+1</f>
        <v>63</v>
      </c>
      <c r="BL201" s="10">
        <f t="shared" ref="BL201" si="437">BK201+1</f>
        <v>64</v>
      </c>
      <c r="BM201" s="10">
        <f t="shared" ref="BM201" si="438">BL201+1</f>
        <v>65</v>
      </c>
      <c r="BN201" s="10">
        <f t="shared" ref="BN201" si="439">BM201+1</f>
        <v>66</v>
      </c>
      <c r="BO201" s="10">
        <f t="shared" ref="BO201" si="440">BN201+1</f>
        <v>67</v>
      </c>
      <c r="BP201" s="10">
        <f t="shared" ref="BP201" si="441">BO201+1</f>
        <v>68</v>
      </c>
      <c r="BQ201" s="10">
        <f t="shared" ref="BQ201" si="442">BP201+1</f>
        <v>69</v>
      </c>
      <c r="BR201" s="10">
        <f t="shared" ref="BR201" si="443">BQ201+1</f>
        <v>70</v>
      </c>
      <c r="BS201" s="10">
        <f t="shared" ref="BS201" si="444">BR201+1</f>
        <v>71</v>
      </c>
      <c r="BT201" s="10">
        <f t="shared" ref="BT201" si="445">BS201+1</f>
        <v>72</v>
      </c>
      <c r="BU201" s="10">
        <f t="shared" ref="BU201" si="446">BT201+1</f>
        <v>73</v>
      </c>
      <c r="BV201" s="10">
        <f t="shared" ref="BV201" si="447">BU201+1</f>
        <v>74</v>
      </c>
      <c r="BW201" s="10">
        <f t="shared" ref="BW201" si="448">BV201+1</f>
        <v>75</v>
      </c>
      <c r="BX201" s="10">
        <f t="shared" ref="BX201" si="449">BW201+1</f>
        <v>76</v>
      </c>
      <c r="BY201" s="10">
        <f t="shared" ref="BY201" si="450">BX201+1</f>
        <v>77</v>
      </c>
      <c r="BZ201" s="10">
        <f t="shared" ref="BZ201" si="451">BY201+1</f>
        <v>78</v>
      </c>
      <c r="CA201" s="10">
        <f t="shared" ref="CA201" si="452">BZ201+1</f>
        <v>79</v>
      </c>
      <c r="CB201" s="10">
        <f t="shared" ref="CB201" si="453">CA201+1</f>
        <v>80</v>
      </c>
      <c r="CC201" s="10">
        <f t="shared" ref="CC201" si="454">CB201+1</f>
        <v>81</v>
      </c>
      <c r="CD201" s="10">
        <f t="shared" ref="CD201" si="455">CC201+1</f>
        <v>82</v>
      </c>
      <c r="CE201" s="10">
        <f t="shared" ref="CE201" si="456">CD201+1</f>
        <v>83</v>
      </c>
      <c r="CF201" s="10">
        <f t="shared" ref="CF201" si="457">CE201+1</f>
        <v>84</v>
      </c>
      <c r="CG201" s="10">
        <f t="shared" ref="CG201" si="458">CF201+1</f>
        <v>85</v>
      </c>
      <c r="CH201" s="10">
        <f t="shared" ref="CH201" si="459">CG201+1</f>
        <v>86</v>
      </c>
      <c r="CI201" s="10">
        <f t="shared" ref="CI201" si="460">CH201+1</f>
        <v>87</v>
      </c>
      <c r="CJ201" s="10">
        <f t="shared" ref="CJ201" si="461">CI201+1</f>
        <v>88</v>
      </c>
      <c r="CK201" s="10">
        <f t="shared" ref="CK201" si="462">CJ201+1</f>
        <v>89</v>
      </c>
      <c r="CL201" s="10">
        <f t="shared" ref="CL201" si="463">CK201+1</f>
        <v>90</v>
      </c>
      <c r="CM201" s="10">
        <f t="shared" ref="CM201" si="464">CL201+1</f>
        <v>91</v>
      </c>
      <c r="CN201" s="10">
        <f t="shared" ref="CN201" si="465">CM201+1</f>
        <v>92</v>
      </c>
      <c r="CO201" s="10">
        <f t="shared" ref="CO201" si="466">CN201+1</f>
        <v>93</v>
      </c>
      <c r="CP201" s="10">
        <f t="shared" ref="CP201" si="467">CO201+1</f>
        <v>94</v>
      </c>
      <c r="CQ201" s="10">
        <f t="shared" ref="CQ201" si="468">CP201+1</f>
        <v>95</v>
      </c>
      <c r="CR201" s="10">
        <f t="shared" ref="CR201" si="469">CQ201+1</f>
        <v>96</v>
      </c>
      <c r="CS201" s="10">
        <f t="shared" ref="CS201" si="470">CR201+1</f>
        <v>97</v>
      </c>
      <c r="CT201" s="10">
        <f t="shared" ref="CT201" si="471">CS201+1</f>
        <v>98</v>
      </c>
      <c r="CU201" s="10">
        <f t="shared" ref="CU201:CV201" si="472">CT201+1</f>
        <v>99</v>
      </c>
      <c r="CV201" s="10">
        <f t="shared" si="472"/>
        <v>100</v>
      </c>
      <c r="CW201" s="10">
        <f t="shared" ref="CW201" si="473">CV201+1</f>
        <v>101</v>
      </c>
      <c r="CX201" s="10">
        <f t="shared" ref="CX201" si="474">CW201+1</f>
        <v>102</v>
      </c>
      <c r="CY201" s="10">
        <f t="shared" ref="CY201" si="475">CX201+1</f>
        <v>103</v>
      </c>
      <c r="CZ201" s="10">
        <f t="shared" ref="CZ201" si="476">CY201+1</f>
        <v>104</v>
      </c>
      <c r="DA201" s="10">
        <f t="shared" ref="DA201" si="477">CZ201+1</f>
        <v>105</v>
      </c>
      <c r="DB201" s="10">
        <f t="shared" ref="DB201" si="478">DA201+1</f>
        <v>106</v>
      </c>
      <c r="DC201" s="10">
        <f t="shared" ref="DC201" si="479">DB201+1</f>
        <v>107</v>
      </c>
      <c r="DD201" s="10">
        <f t="shared" ref="DD201" si="480">DC201+1</f>
        <v>108</v>
      </c>
      <c r="DE201" s="10">
        <f t="shared" ref="DE201" si="481">DD201+1</f>
        <v>109</v>
      </c>
      <c r="DF201" s="10">
        <f t="shared" ref="DF201" si="482">DE201+1</f>
        <v>110</v>
      </c>
      <c r="DG201" s="10">
        <f t="shared" ref="DG201" si="483">DF201+1</f>
        <v>111</v>
      </c>
      <c r="DH201" s="10">
        <f t="shared" ref="DH201" si="484">DG201+1</f>
        <v>112</v>
      </c>
      <c r="DI201" s="10">
        <f t="shared" ref="DI201" si="485">DH201+1</f>
        <v>113</v>
      </c>
      <c r="DJ201" s="10">
        <f t="shared" ref="DJ201" si="486">DI201+1</f>
        <v>114</v>
      </c>
      <c r="DK201" s="10">
        <f t="shared" ref="DK201" si="487">DJ201+1</f>
        <v>115</v>
      </c>
      <c r="DL201" s="10">
        <f t="shared" ref="DL201" si="488">DK201+1</f>
        <v>116</v>
      </c>
      <c r="DM201" s="10">
        <f t="shared" ref="DM201" si="489">DL201+1</f>
        <v>117</v>
      </c>
      <c r="DN201" s="10">
        <f t="shared" ref="DN201" si="490">DM201+1</f>
        <v>118</v>
      </c>
      <c r="DO201" s="10">
        <f t="shared" ref="DO201" si="491">DN201+1</f>
        <v>119</v>
      </c>
      <c r="DP201" s="10">
        <f t="shared" ref="DP201" si="492">DO201+1</f>
        <v>120</v>
      </c>
      <c r="DQ201" s="10">
        <f t="shared" ref="DQ201" si="493">DP201+1</f>
        <v>121</v>
      </c>
      <c r="DR201" s="10">
        <f t="shared" ref="DR201" si="494">DQ201+1</f>
        <v>122</v>
      </c>
      <c r="DS201" s="10">
        <f t="shared" ref="DS201" si="495">DR201+1</f>
        <v>123</v>
      </c>
      <c r="DT201" s="10">
        <f t="shared" ref="DT201" si="496">DS201+1</f>
        <v>124</v>
      </c>
      <c r="DU201" s="10">
        <f t="shared" ref="DU201" si="497">DT201+1</f>
        <v>125</v>
      </c>
      <c r="DV201" s="10">
        <f t="shared" ref="DV201" si="498">DU201+1</f>
        <v>126</v>
      </c>
      <c r="DW201" s="10">
        <f t="shared" ref="DW201" si="499">DV201+1</f>
        <v>127</v>
      </c>
      <c r="DX201" s="10">
        <f t="shared" ref="DX201" si="500">DW201+1</f>
        <v>128</v>
      </c>
      <c r="DZ201" s="10">
        <v>1</v>
      </c>
      <c r="EA201" s="10">
        <f t="shared" ref="EA201" si="501">DZ201+1</f>
        <v>2</v>
      </c>
      <c r="EB201" s="10">
        <f t="shared" ref="EB201" si="502">EA201+1</f>
        <v>3</v>
      </c>
      <c r="EC201" s="10">
        <f t="shared" ref="EC201" si="503">EB201+1</f>
        <v>4</v>
      </c>
    </row>
    <row r="202" spans="1:137" s="32" customFormat="1" ht="14" outlineLevel="1">
      <c r="B202" s="258" t="str">
        <f>A199</f>
        <v>DSRF Earnings</v>
      </c>
      <c r="C202" s="258"/>
      <c r="D202" s="258"/>
      <c r="E202" s="258"/>
      <c r="R202" s="5"/>
      <c r="S202" s="5"/>
      <c r="T202" s="5"/>
      <c r="U202" s="5"/>
      <c r="V202" s="5"/>
      <c r="X202" s="5"/>
      <c r="Y202" s="5"/>
      <c r="Z202" s="5"/>
      <c r="AA202" s="5"/>
      <c r="BQ202" s="124"/>
      <c r="BX202" s="124"/>
      <c r="CB202" s="124"/>
      <c r="CF202" s="124"/>
      <c r="CJ202" s="124"/>
      <c r="DZ202" s="3"/>
      <c r="EA202" s="3"/>
      <c r="EB202" s="3"/>
      <c r="EC202" s="3"/>
      <c r="EE202"/>
    </row>
    <row r="203" spans="1:137" s="33" customFormat="1" ht="14" outlineLevel="1">
      <c r="B203" s="3" t="s">
        <v>201</v>
      </c>
      <c r="C203" s="3" t="s">
        <v>202</v>
      </c>
      <c r="F203" s="2"/>
      <c r="G203" s="257"/>
      <c r="H203" s="257"/>
      <c r="I203" s="150"/>
      <c r="J203" s="257"/>
      <c r="K203" s="257"/>
      <c r="L203" s="3" t="s">
        <v>100</v>
      </c>
      <c r="M203" s="242" t="str">
        <f>M$52</f>
        <v>1997 B Series</v>
      </c>
      <c r="N203" s="242"/>
      <c r="O203" s="242"/>
      <c r="P203" s="153"/>
      <c r="Q203" s="242" t="str">
        <f>Q$52</f>
        <v>1997 C Series</v>
      </c>
      <c r="R203" s="242"/>
      <c r="S203" s="242"/>
      <c r="T203" s="153"/>
      <c r="U203" s="242" t="str">
        <f>U$52</f>
        <v>1997 Series</v>
      </c>
      <c r="V203" s="242"/>
      <c r="W203" s="5"/>
      <c r="X203" s="243" t="str">
        <f>X$52</f>
        <v>1998 A Series</v>
      </c>
      <c r="Y203" s="243"/>
      <c r="Z203" s="243"/>
      <c r="AA203" s="5"/>
      <c r="AB203" s="244" t="str">
        <f>AB$52</f>
        <v>2002 C Series</v>
      </c>
      <c r="AC203" s="244"/>
      <c r="AD203" s="244"/>
      <c r="AE203" s="5"/>
      <c r="AF203" s="241" t="str">
        <f>AF$52</f>
        <v>2007 A Series</v>
      </c>
      <c r="AG203" s="241"/>
      <c r="AH203" s="241"/>
      <c r="AI203" s="148"/>
      <c r="AJ203" s="241" t="str">
        <f>AJ$52</f>
        <v>2007 B Series</v>
      </c>
      <c r="AK203" s="241"/>
      <c r="AL203" s="241"/>
      <c r="AM203" s="148"/>
      <c r="AN203" s="241" t="str">
        <f>AN$52</f>
        <v>2007 C1 Series</v>
      </c>
      <c r="AO203" s="241"/>
      <c r="AP203" s="241"/>
      <c r="AQ203" s="148"/>
      <c r="AR203" s="241" t="str">
        <f>AR$52</f>
        <v>2007 C2 Series</v>
      </c>
      <c r="AS203" s="241"/>
      <c r="AT203" s="241"/>
      <c r="AU203" s="148"/>
      <c r="AV203" s="252" t="str">
        <f>AV$52</f>
        <v>2007 Series</v>
      </c>
      <c r="AW203" s="252"/>
      <c r="AX203" s="3"/>
      <c r="AY203" s="246" t="str">
        <f>AY$52</f>
        <v>2018 A Series</v>
      </c>
      <c r="AZ203" s="246"/>
      <c r="BA203" s="246"/>
      <c r="BB203" s="156"/>
      <c r="BC203" s="246" t="str">
        <f>BC$52</f>
        <v>2018 D Series</v>
      </c>
      <c r="BD203" s="246"/>
      <c r="BE203" s="246"/>
      <c r="BF203" s="156"/>
      <c r="BG203" s="246" t="str">
        <f>BG$52</f>
        <v>2018 E Series</v>
      </c>
      <c r="BH203" s="246"/>
      <c r="BI203" s="246"/>
      <c r="BJ203" s="156"/>
      <c r="BK203" s="247" t="str">
        <f>BK$52</f>
        <v>2018 Series</v>
      </c>
      <c r="BL203" s="247"/>
      <c r="BM203" s="5"/>
      <c r="BN203" s="248" t="str">
        <f>BN$52</f>
        <v>2020 B Series</v>
      </c>
      <c r="BO203" s="248"/>
      <c r="BP203" s="248"/>
      <c r="BQ203" s="158"/>
      <c r="BR203" s="248" t="str">
        <f>BR$52</f>
        <v>2020 D Series</v>
      </c>
      <c r="BS203" s="248"/>
      <c r="BT203" s="248"/>
      <c r="BU203" s="159"/>
      <c r="BV203" s="248" t="str">
        <f>BV$52</f>
        <v>2020 BCD Series</v>
      </c>
      <c r="BW203" s="248"/>
      <c r="BX203" s="124"/>
      <c r="BY203" s="251" t="str">
        <f>BY$52</f>
        <v>2021 A Series</v>
      </c>
      <c r="BZ203" s="251"/>
      <c r="CA203" s="251"/>
      <c r="CB203" s="124"/>
      <c r="CC203" s="240" t="str">
        <f>CC$52</f>
        <v>2022 A Series</v>
      </c>
      <c r="CD203" s="240"/>
      <c r="CE203" s="240"/>
      <c r="CF203" s="160"/>
      <c r="CG203" s="240" t="str">
        <f>CG$52</f>
        <v>2022 B Series</v>
      </c>
      <c r="CH203" s="240"/>
      <c r="CI203" s="240"/>
      <c r="CJ203" s="160"/>
      <c r="CK203" s="240" t="str">
        <f>CK$52</f>
        <v>2022 C Series</v>
      </c>
      <c r="CL203" s="240"/>
      <c r="CM203" s="240"/>
      <c r="CN203" s="161"/>
      <c r="CO203" s="240" t="str">
        <f>CO8</f>
        <v>2022 ABC Series</v>
      </c>
      <c r="CP203" s="240"/>
      <c r="CQ203" s="32"/>
      <c r="CR203" s="249" t="str">
        <f>CR$52</f>
        <v>2022 D Series</v>
      </c>
      <c r="CS203" s="249"/>
      <c r="CT203" s="249"/>
      <c r="CU203" s="163"/>
      <c r="CV203" s="249" t="str">
        <f>CV$52</f>
        <v>2022 E Series</v>
      </c>
      <c r="CW203" s="249"/>
      <c r="CX203" s="249"/>
      <c r="CY203" s="149"/>
      <c r="CZ203" s="249" t="str">
        <f>CZ8</f>
        <v>2022 DE Series</v>
      </c>
      <c r="DA203" s="249"/>
      <c r="DB203" s="32"/>
      <c r="DC203" s="248" t="str">
        <f>DC$52</f>
        <v>2023 Series</v>
      </c>
      <c r="DD203" s="248"/>
      <c r="DE203" s="248"/>
      <c r="DF203" s="32"/>
      <c r="DG203" s="248" t="str">
        <f>DG$52</f>
        <v>2024 Series</v>
      </c>
      <c r="DH203" s="248"/>
      <c r="DI203" s="248"/>
      <c r="DJ203" s="152"/>
      <c r="DK203" s="248" t="str">
        <f>DK$52</f>
        <v>2025 Series</v>
      </c>
      <c r="DL203" s="248"/>
      <c r="DM203" s="248"/>
      <c r="DN203" s="152"/>
      <c r="DO203" s="248" t="str">
        <f>DO$52</f>
        <v>2026 Series</v>
      </c>
      <c r="DP203" s="248"/>
      <c r="DQ203" s="248"/>
      <c r="DR203" s="32"/>
      <c r="DS203" s="248" t="str">
        <f>DS$52</f>
        <v>2027 Series</v>
      </c>
      <c r="DT203" s="248"/>
      <c r="DU203" s="248"/>
      <c r="DV203" s="32"/>
      <c r="DW203" s="256" t="s">
        <v>173</v>
      </c>
      <c r="DX203" s="256"/>
      <c r="DY203" s="32"/>
      <c r="DZ203" s="263" t="s">
        <v>155</v>
      </c>
      <c r="EA203" s="263"/>
      <c r="EB203" s="263"/>
      <c r="EC203" s="170" t="s">
        <v>53</v>
      </c>
      <c r="EE203"/>
    </row>
    <row r="204" spans="1:137" s="33" customFormat="1" ht="14" outlineLevel="1">
      <c r="A204" s="4" t="s">
        <v>4</v>
      </c>
      <c r="B204" s="5" t="s">
        <v>169</v>
      </c>
      <c r="C204" s="5" t="s">
        <v>169</v>
      </c>
      <c r="D204" s="5" t="s">
        <v>16</v>
      </c>
      <c r="E204" s="5" t="s">
        <v>169</v>
      </c>
      <c r="F204" s="4"/>
      <c r="G204" s="4"/>
      <c r="H204" s="5"/>
      <c r="I204" s="5"/>
      <c r="J204" s="5"/>
      <c r="K204" s="5"/>
      <c r="L204" s="5" t="s">
        <v>101</v>
      </c>
      <c r="M204" s="153" t="s">
        <v>53</v>
      </c>
      <c r="N204" s="153" t="s">
        <v>154</v>
      </c>
      <c r="O204" s="153" t="s">
        <v>5</v>
      </c>
      <c r="P204" s="153"/>
      <c r="Q204" s="153" t="s">
        <v>53</v>
      </c>
      <c r="R204" s="153" t="s">
        <v>11</v>
      </c>
      <c r="S204" s="153" t="s">
        <v>5</v>
      </c>
      <c r="T204" s="153"/>
      <c r="U204" s="153" t="s">
        <v>158</v>
      </c>
      <c r="V204" s="153" t="s">
        <v>5</v>
      </c>
      <c r="W204" s="5"/>
      <c r="X204" s="130" t="s">
        <v>158</v>
      </c>
      <c r="Y204" s="130" t="s">
        <v>11</v>
      </c>
      <c r="Z204" s="130" t="s">
        <v>5</v>
      </c>
      <c r="AA204" s="5"/>
      <c r="AB204" s="154" t="s">
        <v>158</v>
      </c>
      <c r="AC204" s="154" t="s">
        <v>11</v>
      </c>
      <c r="AD204" s="154" t="s">
        <v>5</v>
      </c>
      <c r="AE204" s="5"/>
      <c r="AF204" s="148" t="s">
        <v>6</v>
      </c>
      <c r="AG204" s="148" t="s">
        <v>11</v>
      </c>
      <c r="AH204" s="148" t="s">
        <v>5</v>
      </c>
      <c r="AI204" s="148"/>
      <c r="AJ204" s="148" t="s">
        <v>6</v>
      </c>
      <c r="AK204" s="148" t="s">
        <v>12</v>
      </c>
      <c r="AL204" s="148" t="s">
        <v>5</v>
      </c>
      <c r="AM204" s="148"/>
      <c r="AN204" s="148" t="s">
        <v>6</v>
      </c>
      <c r="AO204" s="148" t="s">
        <v>12</v>
      </c>
      <c r="AP204" s="148" t="s">
        <v>5</v>
      </c>
      <c r="AQ204" s="148"/>
      <c r="AR204" s="148" t="s">
        <v>6</v>
      </c>
      <c r="AS204" s="148" t="s">
        <v>12</v>
      </c>
      <c r="AT204" s="148" t="s">
        <v>5</v>
      </c>
      <c r="AU204" s="148"/>
      <c r="AV204" s="148" t="s">
        <v>6</v>
      </c>
      <c r="AW204" s="155" t="s">
        <v>5</v>
      </c>
      <c r="AX204" s="82"/>
      <c r="AY204" s="157" t="s">
        <v>53</v>
      </c>
      <c r="AZ204" s="157" t="s">
        <v>11</v>
      </c>
      <c r="BA204" s="157" t="s">
        <v>5</v>
      </c>
      <c r="BB204" s="156"/>
      <c r="BC204" s="157" t="s">
        <v>53</v>
      </c>
      <c r="BD204" s="157" t="s">
        <v>12</v>
      </c>
      <c r="BE204" s="157" t="s">
        <v>5</v>
      </c>
      <c r="BF204" s="156"/>
      <c r="BG204" s="157" t="s">
        <v>53</v>
      </c>
      <c r="BH204" s="157" t="s">
        <v>12</v>
      </c>
      <c r="BI204" s="157" t="s">
        <v>5</v>
      </c>
      <c r="BJ204" s="156"/>
      <c r="BK204" s="157" t="s">
        <v>53</v>
      </c>
      <c r="BL204" s="157" t="s">
        <v>5</v>
      </c>
      <c r="BM204" s="5"/>
      <c r="BN204" s="152" t="s">
        <v>6</v>
      </c>
      <c r="BO204" s="152" t="s">
        <v>12</v>
      </c>
      <c r="BP204" s="152" t="s">
        <v>5</v>
      </c>
      <c r="BQ204" s="158"/>
      <c r="BR204" s="152" t="s">
        <v>6</v>
      </c>
      <c r="BS204" s="152" t="s">
        <v>12</v>
      </c>
      <c r="BT204" s="152" t="s">
        <v>5</v>
      </c>
      <c r="BU204" s="159"/>
      <c r="BV204" s="152" t="s">
        <v>6</v>
      </c>
      <c r="BW204" s="152" t="s">
        <v>5</v>
      </c>
      <c r="BX204" s="124"/>
      <c r="BY204" s="44" t="s">
        <v>53</v>
      </c>
      <c r="BZ204" s="44" t="s">
        <v>12</v>
      </c>
      <c r="CA204" s="44" t="s">
        <v>5</v>
      </c>
      <c r="CB204" s="124"/>
      <c r="CC204" s="161" t="s">
        <v>53</v>
      </c>
      <c r="CD204" s="161" t="s">
        <v>12</v>
      </c>
      <c r="CE204" s="161" t="s">
        <v>5</v>
      </c>
      <c r="CF204" s="160"/>
      <c r="CG204" s="161" t="s">
        <v>53</v>
      </c>
      <c r="CH204" s="161" t="s">
        <v>12</v>
      </c>
      <c r="CI204" s="161" t="s">
        <v>5</v>
      </c>
      <c r="CJ204" s="160"/>
      <c r="CK204" s="161" t="s">
        <v>53</v>
      </c>
      <c r="CL204" s="161" t="s">
        <v>12</v>
      </c>
      <c r="CM204" s="161" t="s">
        <v>5</v>
      </c>
      <c r="CN204" s="161"/>
      <c r="CO204" s="161" t="s">
        <v>53</v>
      </c>
      <c r="CP204" s="161" t="s">
        <v>5</v>
      </c>
      <c r="CQ204" s="32"/>
      <c r="CR204" s="149" t="s">
        <v>53</v>
      </c>
      <c r="CS204" s="149" t="s">
        <v>12</v>
      </c>
      <c r="CT204" s="149" t="s">
        <v>5</v>
      </c>
      <c r="CU204" s="163"/>
      <c r="CV204" s="149" t="s">
        <v>53</v>
      </c>
      <c r="CW204" s="149" t="s">
        <v>12</v>
      </c>
      <c r="CX204" s="149" t="s">
        <v>5</v>
      </c>
      <c r="CY204" s="149"/>
      <c r="CZ204" s="149" t="s">
        <v>53</v>
      </c>
      <c r="DA204" s="149" t="s">
        <v>5</v>
      </c>
      <c r="DB204" s="32"/>
      <c r="DC204" s="152" t="s">
        <v>6</v>
      </c>
      <c r="DD204" s="152" t="s">
        <v>12</v>
      </c>
      <c r="DE204" s="152" t="s">
        <v>5</v>
      </c>
      <c r="DF204" s="32"/>
      <c r="DG204" s="152" t="s">
        <v>6</v>
      </c>
      <c r="DH204" s="152" t="s">
        <v>12</v>
      </c>
      <c r="DI204" s="152" t="s">
        <v>5</v>
      </c>
      <c r="DJ204" s="152"/>
      <c r="DK204" s="152" t="s">
        <v>6</v>
      </c>
      <c r="DL204" s="152" t="s">
        <v>12</v>
      </c>
      <c r="DM204" s="152" t="s">
        <v>5</v>
      </c>
      <c r="DN204" s="152"/>
      <c r="DO204" s="152" t="s">
        <v>6</v>
      </c>
      <c r="DP204" s="152" t="s">
        <v>12</v>
      </c>
      <c r="DQ204" s="152" t="s">
        <v>5</v>
      </c>
      <c r="DR204" s="32"/>
      <c r="DS204" s="152" t="s">
        <v>6</v>
      </c>
      <c r="DT204" s="152" t="s">
        <v>12</v>
      </c>
      <c r="DU204" s="152" t="s">
        <v>5</v>
      </c>
      <c r="DV204" s="32"/>
      <c r="DW204" s="197" t="s">
        <v>158</v>
      </c>
      <c r="DX204" s="197" t="s">
        <v>5</v>
      </c>
      <c r="DY204" s="32"/>
      <c r="DZ204" s="149" t="s">
        <v>4</v>
      </c>
      <c r="EA204" s="149" t="s">
        <v>158</v>
      </c>
      <c r="EB204" s="149" t="s">
        <v>5</v>
      </c>
      <c r="EC204" s="149" t="s">
        <v>156</v>
      </c>
      <c r="EE204"/>
    </row>
    <row r="205" spans="1:137" s="6" customFormat="1" outlineLevel="1">
      <c r="Z205" s="87"/>
      <c r="AA205" s="87"/>
      <c r="BO205" s="77"/>
      <c r="BS205" s="77"/>
      <c r="BZ205" s="77"/>
      <c r="CD205" s="77"/>
      <c r="CH205" s="77"/>
      <c r="CL205" s="77"/>
      <c r="CS205" s="77"/>
      <c r="CW205" s="77"/>
      <c r="DD205" s="77"/>
      <c r="DH205" s="77"/>
      <c r="DL205" s="77"/>
      <c r="DP205" s="77"/>
      <c r="DT205" s="77"/>
      <c r="EC205" s="214">
        <v>75023000</v>
      </c>
      <c r="EE205"/>
    </row>
    <row r="206" spans="1:137" s="33" customFormat="1" outlineLevel="1">
      <c r="A206" s="7">
        <f>A$11</f>
        <v>2024</v>
      </c>
      <c r="B206" s="151">
        <f>Assumptions!B8</f>
        <v>5.3800000000000001E-2</v>
      </c>
      <c r="C206" s="151">
        <f>Assumptions!C8</f>
        <v>5.3800000000000001E-2</v>
      </c>
      <c r="D206" s="151">
        <f>Assumptions!D8</f>
        <v>3.5000000000000003E-2</v>
      </c>
      <c r="E206" s="151">
        <f>Assumptions!E8</f>
        <v>5.2999999999999999E-2</v>
      </c>
      <c r="F206" s="8"/>
      <c r="G206" s="8"/>
      <c r="H206" s="8"/>
      <c r="I206" s="8"/>
      <c r="J206" s="8"/>
      <c r="K206" s="8"/>
      <c r="L206" s="8"/>
      <c r="M206" s="87">
        <f t="shared" ref="M206:M242" si="504">M$67*M11/M$49</f>
        <v>0</v>
      </c>
      <c r="N206" s="77">
        <f t="shared" ref="N206:N242" si="505">IF($A206&gt;M$58, "   ", $D206*M$249+M$250)</f>
        <v>5.2100000000000007E-2</v>
      </c>
      <c r="O206" s="87">
        <f>IF($A206&gt;'Debt Service'!M$58, 0, SUM(M206:M$242)*N206*M$63/M$64+SUM(M207:M$242)*(M$64-M$63)/M$64*N206)</f>
        <v>35506.15</v>
      </c>
      <c r="P206" s="35"/>
      <c r="Q206" s="87">
        <f t="shared" ref="Q206:Q242" si="506">Q$67*Q11/Q$49</f>
        <v>0</v>
      </c>
      <c r="R206" s="77">
        <f t="shared" ref="R206:R242" si="507">IF($A206&gt;Q$58, "   ", $D206*Q$249+Q$250)</f>
        <v>5.2100000000000007E-2</v>
      </c>
      <c r="S206" s="87">
        <f>IF($A206&gt;'Debt Service'!Q$58, 0, SUM(Q206:Q$242)*R206*Q$63/Q$64+SUM(Q207:Q$242)*(Q$64-Q$63)/Q$64*R206)</f>
        <v>52100.000000000007</v>
      </c>
      <c r="T206" s="35"/>
      <c r="U206" s="35">
        <f t="shared" ref="U206:U242" si="508">M206+Q206</f>
        <v>0</v>
      </c>
      <c r="V206" s="35">
        <f t="shared" ref="V206:V242" si="509">O206+S206</f>
        <v>87606.150000000009</v>
      </c>
      <c r="W206" s="35"/>
      <c r="X206" s="87">
        <f t="shared" ref="X206:X242" si="510">X$67*X11/X$49</f>
        <v>0</v>
      </c>
      <c r="Y206" s="77">
        <f t="shared" ref="Y206:Y242" si="511">IF($A206&gt;X$58, "   ", $D206*X$249+X$250)</f>
        <v>5.1299999999999998E-2</v>
      </c>
      <c r="Z206" s="87">
        <f>IF($A206&gt;'Debt Service'!X$58, 0, SUM(X206:X$242)*Y206*X$63/X$64+SUM(X207:X$242)*(X$64-X$63)/X$64*Y206)</f>
        <v>1126214.55</v>
      </c>
      <c r="AA206" s="87"/>
      <c r="AB206" s="87">
        <f t="shared" ref="AB206:AB242" si="512">AB$67*AB11/AB$49</f>
        <v>0</v>
      </c>
      <c r="AC206" s="77">
        <f t="shared" ref="AC206:AC242" si="513">IF($A206&gt;AB$58, "   ", $D206*AB$249+AB$250)</f>
        <v>4.6700000000000005E-2</v>
      </c>
      <c r="AD206" s="87">
        <f>IF($A206&gt;'Debt Service'!AB$58, 0, SUM(AB206:AB$242)*AC206*AB$63/AB$64+SUM(AB207:AB$242)*(AB$64-AB$63)/AB$64*AC206)</f>
        <v>583750.00000000012</v>
      </c>
      <c r="AE206" s="35"/>
      <c r="AF206" s="87">
        <f t="shared" ref="AF206:AF242" si="514">AF$67*AF11/AF$49</f>
        <v>0</v>
      </c>
      <c r="AG206" s="77">
        <f t="shared" ref="AG206:AG242" si="515">IF($A206&gt;AF$58, "   ", $D206*AF$249+AF$250)</f>
        <v>4.3000000000000003E-2</v>
      </c>
      <c r="AH206" s="87">
        <f>IF($A206&gt;'Debt Service'!AF$58, 0, SUM(AF206:AF$242)*AG206*AF$63/AF$64+SUM(AF207:AF$242)*(AF$64-AF$63)/AF$64*AG206)</f>
        <v>28208.000000000004</v>
      </c>
      <c r="AI206" s="35"/>
      <c r="AJ206" s="87">
        <f t="shared" ref="AJ206:AJ242" si="516">AJ$67*AJ11/AJ$49</f>
        <v>0</v>
      </c>
      <c r="AK206" s="77">
        <f t="shared" ref="AK206:AK242" si="517">IF($A206&gt;AJ$58, "   ", $D206*AJ$249+AJ$250)</f>
        <v>4.3000000000000003E-2</v>
      </c>
      <c r="AL206" s="87">
        <f>IF($A206&gt;'Debt Service'!AJ$58, 0, SUM(AJ206:AJ$242)*AK206*AJ$63/AJ$64+SUM(AJ207:AJ$242)*(AJ$64-AJ$63)/AJ$64*AK206)</f>
        <v>135020</v>
      </c>
      <c r="AM206" s="35"/>
      <c r="AN206" s="87"/>
      <c r="AO206" s="77" t="str">
        <f t="shared" ref="AO206:AO242" si="518">IF($A206&gt;AN$58, "   ", $D206*AN$249+AN$250)</f>
        <v xml:space="preserve">   </v>
      </c>
      <c r="AP206" s="87">
        <f>IF($A206&gt;'Debt Service'!AN$58, 0, SUM(AN206:AN$242)*AO206*AN$63/AN$64+SUM(AN207:AN$242)*(AN$64-AN$63)/AN$64*AO206)</f>
        <v>0</v>
      </c>
      <c r="AQ206" s="35"/>
      <c r="AR206" s="87">
        <f t="shared" ref="AR206:AR242" si="519">AR$67*AR11/AR$49</f>
        <v>0</v>
      </c>
      <c r="AS206" s="77">
        <f t="shared" ref="AS206:AS242" si="520">IF($A206&gt;AR$58, "   ", $D206*AR$249+AR$250)</f>
        <v>4.3000000000000003E-2</v>
      </c>
      <c r="AT206" s="87">
        <f>IF($A206&gt;'Debt Service'!AR$58, 0, SUM(AR206:AR$242)*AS206*AR$63/AR$64+SUM(AR207:AR$242)*(AR$64-AR$63)/AR$64*AS206)</f>
        <v>127796.00000000001</v>
      </c>
      <c r="AV206" s="35">
        <f t="shared" ref="AV206:AV242" si="521">AF206+AJ206+AN206+AR206</f>
        <v>0</v>
      </c>
      <c r="AW206" s="35">
        <f t="shared" ref="AW206:AW242" si="522">AH206+AL206+AP206+AT206</f>
        <v>291024</v>
      </c>
      <c r="AX206" s="35"/>
      <c r="AY206" s="87">
        <f t="shared" ref="AY206:AY242" si="523">AY$67*AY11/AY$49</f>
        <v>0</v>
      </c>
      <c r="AZ206" s="77">
        <f t="shared" ref="AZ206:AZ242" si="524">IF($A206&gt;AY$58, "   ", IF(AY$248="1M LIBOR", $B206*AY$249+AY$250, IF(AY$248="3M LIBOR", $C206*AY$249+AY$250, IF(AY$248="SIFMA", $E206*AY$249+AY$250, 0))))</f>
        <v>6.0999999999999999E-2</v>
      </c>
      <c r="BA206" s="87">
        <f>IF($A206&gt;'Debt Service'!AY$58, 0, SUM(AY206:AY$242)*AZ206*AY$63/AY$64+SUM(AY207:AY$242)*(AY$64-AY$63)/AY$64*AZ206)</f>
        <v>34221</v>
      </c>
      <c r="BB206" s="61"/>
      <c r="BC206" s="87">
        <f t="shared" ref="BC206:BC242" si="525">BC$67*BC11/BC$49</f>
        <v>0</v>
      </c>
      <c r="BD206" s="77">
        <f t="shared" ref="BD206:BD242" si="526">IF($A206&gt;BC$58, "   ", IF(BC$248="1M LIBOR", $B206*BC$249+BC$250, IF(BC$248="3M LIBOR", $C206*BC$249+BC$250, IF(BC$248="SIFMA", $E206*BC$249+BC$250, 0))))</f>
        <v>6.0999999999999999E-2</v>
      </c>
      <c r="BE206" s="87">
        <f>IF($A206&gt;'Debt Service'!BC$58, 0, SUM(BC206:BC$242)*BD206*BC$63/BC$64+SUM(BC207:BC$242)*(BC$64-BC$63)/BC$64*BD206)</f>
        <v>97539</v>
      </c>
      <c r="BF206" s="61"/>
      <c r="BG206" s="87">
        <f t="shared" ref="BG206:BG242" si="527">BG$67*BG11/BG$49</f>
        <v>0</v>
      </c>
      <c r="BH206" s="77">
        <f t="shared" ref="BH206:BH242" si="528">IF($A206&gt;BG$58, "   ", IF(BG$248="1M LIBOR", $B206*BG$249+BG$250, IF(BG$248="3M LIBOR", $C206*BG$249+BG$250, IF(BG$248="SIFMA", $E206*BG$249+BG$250, 0))))</f>
        <v>6.0999999999999999E-2</v>
      </c>
      <c r="BI206" s="87">
        <f>IF($A206&gt;'Debt Service'!BG$58, 0, SUM(BG206:BG$242)*BH206*BG$63/BG$64+SUM(BG207:BG$242)*(BG$64-BG$63)/BG$64*BH206)</f>
        <v>249063</v>
      </c>
      <c r="BJ206" s="61"/>
      <c r="BK206" s="35">
        <f>AY206+BC206+BG206</f>
        <v>0</v>
      </c>
      <c r="BL206" s="35">
        <f>BA206+BE206+BI206</f>
        <v>380823</v>
      </c>
      <c r="BM206" s="8"/>
      <c r="BN206" s="87">
        <f t="shared" ref="BN206:BN242" si="529">IF(BN$49=0, 0, BN$67*BN11/BN$49)</f>
        <v>1992000</v>
      </c>
      <c r="BO206" s="77">
        <f t="shared" ref="BO206:BO242" si="530">IF($A206&gt;BN$58, "   ", IF(BN$248="1M LIBOR", $B206*BN$249+BN$250, IF(BN$248="3M LIBOR", $C206*BN$249+BN$250, IF(BN$248="SIFMA", $E206*BN$249+BN$250, 0))))</f>
        <v>5.6799999999999996E-2</v>
      </c>
      <c r="BP206" s="87">
        <f>IF($A206&gt;'Debt Service'!BN$58, 0, SUM(BN206:BN$242)*BO206*BN$63/BN$64+SUM(BN207:BN$242)*(BN$64-BN$63)/BN$64*BO206)</f>
        <v>113145.59999999999</v>
      </c>
      <c r="BQ206" s="77"/>
      <c r="BR206" s="87">
        <f t="shared" ref="BR206:BR242" si="531">IF(BR$49=0, 0, BR$67*BR11/BR$49)</f>
        <v>0</v>
      </c>
      <c r="BS206" s="77">
        <f t="shared" ref="BS206:BS242" si="532">IF($A206&gt;BR$58, "   ", IF(BR$248="1M LIBOR", $B206*BR$249+BR$250, IF(BR$248="3M LIBOR", $C206*BR$249+BR$250, IF(BR$248="SIFMA", $E206*BR$249+BR$250, 0))))</f>
        <v>5.6799999999999996E-2</v>
      </c>
      <c r="BT206" s="87">
        <f>IF($A206&gt;'Debt Service'!BR$58, 0, SUM(BR206:BR$242)*BS206*BR$63/BR$64+SUM(BR207:BR$242)*(BR$64-BR$63)/BR$64*BS206)</f>
        <v>194710.39999999999</v>
      </c>
      <c r="BU206" s="87"/>
      <c r="BV206" s="35">
        <f>BN206+BR206</f>
        <v>1992000</v>
      </c>
      <c r="BW206" s="35">
        <f>BP206+BT206</f>
        <v>307856</v>
      </c>
      <c r="BX206" s="87"/>
      <c r="BY206" s="87">
        <f t="shared" ref="BY206:BY242" si="533">IF(BY$49=0, 0, BY$67*BY11/BY$49)</f>
        <v>0</v>
      </c>
      <c r="BZ206" s="77">
        <f t="shared" ref="BZ206:BZ242" si="534">IF($A206&gt;BY$58, "   ", IF(BY$248="1M LIBOR", $B206*BY$249+BY$250, IF(BY$248="3M LIBOR", $C206*BY$249+BY$250, IF(BY$248="SIFMA", $E206*BY$249+BY$250, 0))))</f>
        <v>5.6799999999999996E-2</v>
      </c>
      <c r="CA206" s="87">
        <f>IF($A206&gt;'Debt Service'!BY$58, 0, SUM(BY206:BY$242)*BZ206*BY$63/BY$64+SUM(BY207:BY$242)*(BY$64-BY$63)/BY$64*BZ206)</f>
        <v>106329.59999999999</v>
      </c>
      <c r="CB206" s="87"/>
      <c r="CC206" s="87">
        <f t="shared" ref="CC206:CC242" si="535">IF(CC$49=0, 0, CC$67*CC11/CC$49)</f>
        <v>0</v>
      </c>
      <c r="CD206" s="77">
        <f t="shared" ref="CD206:CD242" si="536">IF($A206&gt;CC$58, "   ", IF(CC$248="1M LIBOR", $B206*CC$249+CC$250, IF(CC$248="3M LIBOR", $C206*CC$249+CC$250, IF(CC$248="SIFMA", $E206*CC$249+CC$250, 0))))</f>
        <v>5.6799999999999996E-2</v>
      </c>
      <c r="CE206" s="87">
        <f>IF(OR($A206&gt;'Debt Service'!CC$58,$A206&lt;CC$51), 0, SUM(CC206:CC$242)*CD206*CC$63/CC$64+SUM(CC207:CC$242)*(CC$64-CC$63)/CC$64*CD206)</f>
        <v>17608</v>
      </c>
      <c r="CF206" s="87"/>
      <c r="CG206" s="87">
        <f t="shared" ref="CG206:CG242" si="537">IF(CG$49=0, 0, CG$67*CG11/CG$49)</f>
        <v>0</v>
      </c>
      <c r="CH206" s="77">
        <f t="shared" ref="CH206:CH242" si="538">IF($A206&gt;CG$58, "   ", IF(CG$248="1M LIBOR", $B206*CG$249+CG$250, IF(CG$248="3M LIBOR", $C206*CG$249+CG$250, IF(CG$248="SIFMA", $E206*CG$249+CG$250, 0))))</f>
        <v>5.6799999999999996E-2</v>
      </c>
      <c r="CI206" s="87">
        <f>IF(OR($A206&gt;'Debt Service'!CG$58,$A206&lt;CG$51), 0, SUM(CG206:CG$242)*CH206*CG$63/CG$64+SUM(CG207:CG$242)*(CG$64-CG$63)/CG$64*CH206)</f>
        <v>180453.59999999998</v>
      </c>
      <c r="CJ206" s="87"/>
      <c r="CK206" s="87">
        <f t="shared" ref="CK206:CK242" si="539">IF(CK$49=0, 0, CK$67*CK11/CK$49)</f>
        <v>0</v>
      </c>
      <c r="CL206" s="77">
        <f t="shared" ref="CL206:CL242" si="540">IF($A206&gt;CK$58, "   ", IF(CK$248="1M LIBOR", $B206*CK$249+CK$250, IF(CK$248="3M LIBOR", $C206*CK$249+CK$250, IF(CK$248="SIFMA", $E206*CK$249+CK$250, 0))))</f>
        <v>6.0999999999999999E-2</v>
      </c>
      <c r="CM206" s="87">
        <f>IF(OR($A206&gt;'Debt Service'!CK$58,$A206&lt;CK$51), 0, SUM(CK206:CK$242)*CL206*CK$63/CK$64+SUM(CK207:CK$242)*(CK$64-CK$63)/CK$64*CL206)</f>
        <v>198067</v>
      </c>
      <c r="CN206" s="87"/>
      <c r="CO206" s="162">
        <f t="shared" ref="CO206:CO242" si="541">CC206+CG206+CK206</f>
        <v>0</v>
      </c>
      <c r="CP206" s="87">
        <f t="shared" ref="CP206:CP242" si="542">CE206+CI206+CM206</f>
        <v>396128.6</v>
      </c>
      <c r="CQ206" s="8"/>
      <c r="CR206" s="87">
        <f t="shared" ref="CR206:CR242" si="543">IF(CR$49=0, 0, CR$67*CR11/CR$49)</f>
        <v>0</v>
      </c>
      <c r="CS206" s="77">
        <f t="shared" ref="CS206:CS242" si="544">IF($A206&gt;CR$58, "   ", IF(CR$248="1M LIBOR", $B206*CR$249+CR$250, IF(CR$248="3M LIBOR", $C206*CR$249+CR$250, IF(CR$248="SIFMA", $E206*CR$249+CR$250, 0))))</f>
        <v>6.0999999999999999E-2</v>
      </c>
      <c r="CT206" s="87">
        <f>IF(OR($A206&gt;'Debt Service'!CR$58,$A206&lt;CR$51), 0, SUM(CR206:CR$242)*CS206*CR$63/CR$64+SUM(CR207:CR$242)*(CR$64-CR$63)/CR$64*CS206)</f>
        <v>61488</v>
      </c>
      <c r="CU206" s="87"/>
      <c r="CV206" s="87">
        <f t="shared" ref="CV206:CV242" si="545">IF(CV$49=0, 0, CV$67*CV11/CV$49)</f>
        <v>0</v>
      </c>
      <c r="CW206" s="77">
        <f t="shared" ref="CW206:CW242" si="546">IF($A206&gt;CV$58, "   ", IF(CV$248="1M LIBOR", $B206*CV$249+CV$250, IF(CV$248="3M LIBOR", $C206*CV$249+CV$250, IF(CV$248="SIFMA", $E206*CV$249+CV$250, 0))))</f>
        <v>6.0999999999999999E-2</v>
      </c>
      <c r="CX206" s="87">
        <f>IF(OR($A206&gt;'Debt Service'!CV$58,$A206&lt;CV$51), 0, SUM(CV206:CV$242)*CW206*CV$63/CV$64+SUM(CV207:CV$242)*(CV$64-CV$63)/CV$64*CW206)</f>
        <v>206119</v>
      </c>
      <c r="CY206" s="87"/>
      <c r="CZ206" s="165">
        <f t="shared" ref="CZ206:CZ242" si="547">CR206+CV206</f>
        <v>0</v>
      </c>
      <c r="DA206" s="165">
        <f t="shared" ref="DA206:DA242" si="548">CT206+CX206</f>
        <v>267607</v>
      </c>
      <c r="DB206" s="87"/>
      <c r="DC206" s="87">
        <f t="shared" ref="DC206:DC242" si="549">IF(DC$49=0, 0, DC$67*DC11/DC$49)</f>
        <v>0</v>
      </c>
      <c r="DD206" s="77">
        <f t="shared" ref="DD206:DD242" si="550">IF($A206&gt;DC$191, "   ", IF(DC$248="1M LIBOR", $B206*DC$249+DC$250, IF(DC$248="3M LIBOR", $C206*DC$249+DC$250, IF(DC$248="SIFMA", $E206*DC$249+DC$250, 0))))</f>
        <v>6.0999999999999999E-2</v>
      </c>
      <c r="DE206" s="87">
        <f>IF(OR($A206&gt;DC$191, $A206&lt;DC$51), 0, SUM(DC206:DC$242)*DD206*DC$63/DC$64+SUM(DC207:DC$242)*(DC$64-DC$63)/DC$64*DD206)</f>
        <v>455304</v>
      </c>
      <c r="DF206" s="87"/>
      <c r="DG206" s="87">
        <f t="shared" ref="DG206:DG242" si="551">IF(DG$49=0, 0, DG$67*DG11/DG$49)</f>
        <v>0</v>
      </c>
      <c r="DH206" s="77" t="str">
        <f t="shared" ref="DH206:DH242" si="552">IF($A206&gt;DG$58, "   ", IF(DG$248="1M LIBOR", $B206*DG$249+DG$250, IF(DG$248="3M LIBOR", $C206*DG$249+DG$250, IF(DG$248="SIFMA", $E206*DG$249+DG$250, 0))))</f>
        <v xml:space="preserve">   </v>
      </c>
      <c r="DI206" s="87">
        <f>IF(OR($A206&gt;DG$58, $A206&lt;DG$51), 0, SUM(DG206:DG$242)*DH206*DG$63/DG$64+SUM(DG207:DG$242)*(DG$64-DG$63)/DG$64*DH206)</f>
        <v>0</v>
      </c>
      <c r="DJ206" s="87"/>
      <c r="DK206" s="87">
        <f t="shared" ref="DK206:DK242" si="553">IF(DK$49=0, 0, DK$67*DK11/DK$49)</f>
        <v>0</v>
      </c>
      <c r="DL206" s="77" t="str">
        <f t="shared" ref="DL206:DL242" si="554">IF($A206&gt;DK$58, "   ", IF(DK$248="1M LIBOR", $B206*DK$249+DK$250, IF(DK$248="3M LIBOR", $C206*DK$249+DK$250, IF(DK$248="SIFMA", $E206*DK$249+DK$250, 0))))</f>
        <v xml:space="preserve">   </v>
      </c>
      <c r="DM206" s="87">
        <f>IF(OR($A206&gt;DK$58, $A206&lt;DK$51), 0, SUM(DK206:DK$242)*DL206*DK$63/DK$64+SUM(DK207:DK$242)*(DK$64-DK$63)/DK$64*DL206)</f>
        <v>0</v>
      </c>
      <c r="DN206" s="87"/>
      <c r="DO206" s="87">
        <f t="shared" ref="DO206:DO242" si="555">IF(DO$49=0, 0, DO$67*DO11/DO$49)</f>
        <v>0</v>
      </c>
      <c r="DP206" s="77" t="str">
        <f t="shared" ref="DP206:DP242" si="556">IF($A206&gt;DO$58, "   ", IF(DO$248="1M LIBOR", $B206*DO$249+DO$250, IF(DO$248="3M LIBOR", $C206*DO$249+DO$250, IF(DO$248="SIFMA", $E206*DO$249+DO$250, 0))))</f>
        <v xml:space="preserve">   </v>
      </c>
      <c r="DQ206" s="87">
        <f>IF(OR($A206&gt;DO$58, $A206&lt;DO$51), 0, SUM(DO206:DO$242)*DP206*DO$63/DO$64+SUM(DO207:DO$242)*(DO$64-DO$63)/DO$64*DP206)</f>
        <v>0</v>
      </c>
      <c r="DR206" s="87"/>
      <c r="DS206" s="87">
        <f t="shared" ref="DS206:DS242" si="557">IF(DS$49=0, 0, DS$67*DS11/DS$49)</f>
        <v>0</v>
      </c>
      <c r="DT206" s="77" t="str">
        <f t="shared" ref="DT206:DT242" si="558">IF($A206&gt;DS$58, "   ", IF(DS$248="1M LIBOR", $B206*DS$249+DS$250, IF(DS$248="3M LIBOR", $C206*DS$249+DS$250, IF(DS$248="SIFMA", $E206*DS$249+DS$250, 0))))</f>
        <v xml:space="preserve">   </v>
      </c>
      <c r="DU206" s="87">
        <f>IF(OR($A206&gt;DS$58, $A206&lt;DS$51), 0, SUM(DS206:DS$242)*DT206*DS$63/DS$64+SUM(DS207:DS$242)*(DS$64-DS$63)/DS$64*DT206)</f>
        <v>0</v>
      </c>
      <c r="DV206" s="8"/>
      <c r="DW206" s="217">
        <f>AV206+BK206+BV206+BY206+CO206+CZ206+DC206+DG206+DK206+DO206+DS206-HLOOKUP($A206, $DG$66:$DU$67,$ED$67, FALSE)</f>
        <v>1992000</v>
      </c>
      <c r="DX206" s="165">
        <f>AW206+BL206+BW206+CA206+CP206+DA206+DE206+DI206+DM206+DQ206+DU206</f>
        <v>2205072.2000000002</v>
      </c>
      <c r="DY206" s="8"/>
      <c r="DZ206" s="53">
        <f t="shared" ref="DZ206:DZ242" si="559">A206</f>
        <v>2024</v>
      </c>
      <c r="EA206" s="35">
        <f t="shared" ref="EA206:EA242" si="560">U206+X206+AB206+DW206</f>
        <v>1992000</v>
      </c>
      <c r="EB206" s="35">
        <f t="shared" ref="EB206:EB242" si="561">V206+Z206+AD206+DX206</f>
        <v>4002642.9000000004</v>
      </c>
      <c r="EC206" s="35">
        <f>EC205-EA206</f>
        <v>73031000</v>
      </c>
      <c r="ED206" s="207">
        <v>1</v>
      </c>
      <c r="EE206"/>
      <c r="EG206" s="168"/>
    </row>
    <row r="207" spans="1:137" s="33" customFormat="1" outlineLevel="1">
      <c r="A207" s="7">
        <f t="shared" ref="A207:A242" si="562">A206+1</f>
        <v>2025</v>
      </c>
      <c r="B207" s="151">
        <f>Assumptions!B9</f>
        <v>5.3800000000000001E-2</v>
      </c>
      <c r="C207" s="151">
        <f>Assumptions!C9</f>
        <v>5.3800000000000001E-2</v>
      </c>
      <c r="D207" s="151">
        <f>Assumptions!D9</f>
        <v>3.5000000000000003E-2</v>
      </c>
      <c r="E207" s="151">
        <f>Assumptions!E9</f>
        <v>5.2999999999999999E-2</v>
      </c>
      <c r="F207" s="8"/>
      <c r="G207" s="8"/>
      <c r="H207" s="8"/>
      <c r="I207" s="8"/>
      <c r="J207" s="8"/>
      <c r="K207" s="8"/>
      <c r="L207" s="8"/>
      <c r="M207" s="87">
        <f t="shared" si="504"/>
        <v>0</v>
      </c>
      <c r="N207" s="77">
        <f t="shared" si="505"/>
        <v>5.2100000000000007E-2</v>
      </c>
      <c r="O207" s="87">
        <f>IF($A207&gt;'Debt Service'!M$58, 0, SUM(M207:M$242)*N207*M$63/M$64+SUM(M208:M$242)*(M$64-M$63)/M$64*N207)</f>
        <v>35506.15</v>
      </c>
      <c r="P207" s="35"/>
      <c r="Q207" s="87">
        <f t="shared" si="506"/>
        <v>0</v>
      </c>
      <c r="R207" s="77">
        <f t="shared" si="507"/>
        <v>5.2100000000000007E-2</v>
      </c>
      <c r="S207" s="87">
        <f>IF($A207&gt;'Debt Service'!Q$58, 0, SUM(Q207:Q$242)*R207*Q$63/Q$64+SUM(Q208:Q$242)*(Q$64-Q$63)/Q$64*R207)</f>
        <v>52100.000000000007</v>
      </c>
      <c r="T207" s="35"/>
      <c r="U207" s="35">
        <f t="shared" si="508"/>
        <v>0</v>
      </c>
      <c r="V207" s="35">
        <f t="shared" si="509"/>
        <v>87606.150000000009</v>
      </c>
      <c r="W207" s="35"/>
      <c r="X207" s="87">
        <f t="shared" si="510"/>
        <v>0</v>
      </c>
      <c r="Y207" s="77">
        <f t="shared" si="511"/>
        <v>5.1299999999999998E-2</v>
      </c>
      <c r="Z207" s="87">
        <f>IF($A207&gt;'Debt Service'!X$58, 0, SUM(X207:X$242)*Y207*X$63/X$64+SUM(X208:X$242)*(X$64-X$63)/X$64*Y207)</f>
        <v>1126214.55</v>
      </c>
      <c r="AA207" s="87"/>
      <c r="AB207" s="87">
        <f t="shared" si="512"/>
        <v>0</v>
      </c>
      <c r="AC207" s="77">
        <f t="shared" si="513"/>
        <v>4.6700000000000005E-2</v>
      </c>
      <c r="AD207" s="87">
        <f>IF($A207&gt;'Debt Service'!AB$58, 0, SUM(AB207:AB$242)*AC207*AB$63/AB$64+SUM(AB208:AB$242)*(AB$64-AB$63)/AB$64*AC207)</f>
        <v>583750.00000000012</v>
      </c>
      <c r="AE207" s="35"/>
      <c r="AF207" s="87">
        <f t="shared" si="514"/>
        <v>0</v>
      </c>
      <c r="AG207" s="77">
        <f t="shared" si="515"/>
        <v>4.3000000000000003E-2</v>
      </c>
      <c r="AH207" s="87">
        <f>IF($A207&gt;'Debt Service'!AF$58, 0, SUM(AF207:AF$242)*AG207*AF$63/AF$64+SUM(AF208:AF$242)*(AF$64-AF$63)/AF$64*AG207)</f>
        <v>28208.000000000004</v>
      </c>
      <c r="AI207" s="35"/>
      <c r="AJ207" s="87">
        <f t="shared" si="516"/>
        <v>0</v>
      </c>
      <c r="AK207" s="77">
        <f t="shared" si="517"/>
        <v>4.3000000000000003E-2</v>
      </c>
      <c r="AL207" s="87">
        <f>IF($A207&gt;'Debt Service'!AJ$58, 0, SUM(AJ207:AJ$242)*AK207*AJ$63/AJ$64+SUM(AJ208:AJ$242)*(AJ$64-AJ$63)/AJ$64*AK207)</f>
        <v>135020</v>
      </c>
      <c r="AM207" s="35"/>
      <c r="AN207" s="87"/>
      <c r="AO207" s="77" t="str">
        <f t="shared" si="518"/>
        <v xml:space="preserve">   </v>
      </c>
      <c r="AP207" s="87">
        <f>IF($A207&gt;'Debt Service'!AN$58, 0, SUM(AN207:AN$242)*AO207*AN$63/AN$64+SUM(AN208:AN$242)*(AN$64-AN$63)/AN$64*AO207)</f>
        <v>0</v>
      </c>
      <c r="AQ207" s="35"/>
      <c r="AR207" s="87">
        <f t="shared" si="519"/>
        <v>0</v>
      </c>
      <c r="AS207" s="77">
        <f t="shared" si="520"/>
        <v>4.3000000000000003E-2</v>
      </c>
      <c r="AT207" s="87">
        <f>IF($A207&gt;'Debt Service'!AR$58, 0, SUM(AR207:AR$242)*AS207*AR$63/AR$64+SUM(AR208:AR$242)*(AR$64-AR$63)/AR$64*AS207)</f>
        <v>127796.00000000001</v>
      </c>
      <c r="AV207" s="35">
        <f t="shared" si="521"/>
        <v>0</v>
      </c>
      <c r="AW207" s="35">
        <f t="shared" si="522"/>
        <v>291024</v>
      </c>
      <c r="AX207" s="35"/>
      <c r="AY207" s="87">
        <f t="shared" si="523"/>
        <v>0</v>
      </c>
      <c r="AZ207" s="77">
        <f t="shared" si="524"/>
        <v>6.0999999999999999E-2</v>
      </c>
      <c r="BA207" s="87">
        <f>IF($A207&gt;'Debt Service'!AY$58, 0, SUM(AY207:AY$242)*AZ207*AY$63/AY$64+SUM(AY208:AY$242)*(AY$64-AY$63)/AY$64*AZ207)</f>
        <v>34221</v>
      </c>
      <c r="BB207" s="61"/>
      <c r="BC207" s="87">
        <f t="shared" si="525"/>
        <v>0</v>
      </c>
      <c r="BD207" s="77">
        <f t="shared" si="526"/>
        <v>6.0999999999999999E-2</v>
      </c>
      <c r="BE207" s="87">
        <f>IF($A207&gt;'Debt Service'!BC$58, 0, SUM(BC207:BC$242)*BD207*BC$63/BC$64+SUM(BC208:BC$242)*(BC$64-BC$63)/BC$64*BD207)</f>
        <v>97539</v>
      </c>
      <c r="BF207" s="61"/>
      <c r="BG207" s="87">
        <f t="shared" si="527"/>
        <v>0</v>
      </c>
      <c r="BH207" s="77">
        <f t="shared" si="528"/>
        <v>6.0999999999999999E-2</v>
      </c>
      <c r="BI207" s="87">
        <f>IF($A207&gt;'Debt Service'!BG$58, 0, SUM(BG207:BG$242)*BH207*BG$63/BG$64+SUM(BG208:BG$242)*(BG$64-BG$63)/BG$64*BH207)</f>
        <v>249063</v>
      </c>
      <c r="BJ207" s="61"/>
      <c r="BK207" s="35">
        <f t="shared" ref="BK207:BK242" si="563">AY207+BC207+BG207</f>
        <v>0</v>
      </c>
      <c r="BL207" s="35">
        <f t="shared" ref="BL207:BL242" si="564">BA207+BE207+BI207</f>
        <v>380823</v>
      </c>
      <c r="BM207" s="8"/>
      <c r="BN207" s="87">
        <f t="shared" si="529"/>
        <v>0</v>
      </c>
      <c r="BO207" s="77" t="str">
        <f t="shared" si="530"/>
        <v xml:space="preserve">   </v>
      </c>
      <c r="BP207" s="87">
        <f>IF($A207&gt;'Debt Service'!BN$58, 0, SUM(BN207:BN$242)*BO207*BN$63/BN$64+SUM(BN208:BN$242)*(BN$64-BN$63)/BN$64*BO207)</f>
        <v>0</v>
      </c>
      <c r="BQ207" s="77"/>
      <c r="BR207" s="87">
        <f t="shared" si="531"/>
        <v>0</v>
      </c>
      <c r="BS207" s="77">
        <f t="shared" si="532"/>
        <v>5.6799999999999996E-2</v>
      </c>
      <c r="BT207" s="87">
        <f>IF($A207&gt;'Debt Service'!BR$58, 0, SUM(BR207:BR$242)*BS207*BR$63/BR$64+SUM(BR208:BR$242)*(BR$64-BR$63)/BR$64*BS207)</f>
        <v>194710.39999999999</v>
      </c>
      <c r="BU207" s="87"/>
      <c r="BV207" s="35">
        <f t="shared" ref="BV207:BV242" si="565">BN207+BR207</f>
        <v>0</v>
      </c>
      <c r="BW207" s="35">
        <f t="shared" ref="BW207:BW242" si="566">BP207+BT207</f>
        <v>194710.39999999999</v>
      </c>
      <c r="BX207" s="87"/>
      <c r="BY207" s="87">
        <f t="shared" si="533"/>
        <v>0</v>
      </c>
      <c r="BZ207" s="77">
        <f t="shared" si="534"/>
        <v>5.6799999999999996E-2</v>
      </c>
      <c r="CA207" s="87">
        <f>IF($A207&gt;'Debt Service'!BY$58, 0, SUM(BY207:BY$242)*BZ207*BY$63/BY$64+SUM(BY208:BY$242)*(BY$64-BY$63)/BY$64*BZ207)</f>
        <v>106329.59999999999</v>
      </c>
      <c r="CB207" s="87"/>
      <c r="CC207" s="87">
        <f t="shared" si="535"/>
        <v>0</v>
      </c>
      <c r="CD207" s="77">
        <f t="shared" si="536"/>
        <v>5.6799999999999996E-2</v>
      </c>
      <c r="CE207" s="87">
        <f>IF(OR($A207&gt;'Debt Service'!CC$58,$A207&lt;CC$51), 0, SUM(CC207:CC$242)*CD207*CC$63/CC$64+SUM(CC208:CC$242)*(CC$64-CC$63)/CC$64*CD207)</f>
        <v>17608</v>
      </c>
      <c r="CF207" s="87"/>
      <c r="CG207" s="87">
        <f t="shared" si="537"/>
        <v>0</v>
      </c>
      <c r="CH207" s="77">
        <f t="shared" si="538"/>
        <v>5.6799999999999996E-2</v>
      </c>
      <c r="CI207" s="87">
        <f>IF(OR($A207&gt;'Debt Service'!CG$58,$A207&lt;CG$51), 0, SUM(CG207:CG$242)*CH207*CG$63/CG$64+SUM(CG208:CG$242)*(CG$64-CG$63)/CG$64*CH207)</f>
        <v>180453.59999999998</v>
      </c>
      <c r="CJ207" s="87"/>
      <c r="CK207" s="87">
        <f t="shared" si="539"/>
        <v>0</v>
      </c>
      <c r="CL207" s="77">
        <f t="shared" si="540"/>
        <v>6.0999999999999999E-2</v>
      </c>
      <c r="CM207" s="87">
        <f>IF(OR($A207&gt;'Debt Service'!CK$58,$A207&lt;CK$51), 0, SUM(CK207:CK$242)*CL207*CK$63/CK$64+SUM(CK208:CK$242)*(CK$64-CK$63)/CK$64*CL207)</f>
        <v>198067</v>
      </c>
      <c r="CN207" s="87"/>
      <c r="CO207" s="162">
        <f t="shared" si="541"/>
        <v>0</v>
      </c>
      <c r="CP207" s="87">
        <f t="shared" si="542"/>
        <v>396128.6</v>
      </c>
      <c r="CQ207" s="8"/>
      <c r="CR207" s="87">
        <f t="shared" si="543"/>
        <v>0</v>
      </c>
      <c r="CS207" s="77">
        <f t="shared" si="544"/>
        <v>6.0999999999999999E-2</v>
      </c>
      <c r="CT207" s="87">
        <f>IF(OR($A207&gt;'Debt Service'!CR$58,$A207&lt;CR$51), 0, SUM(CR207:CR$242)*CS207*CR$63/CR$64+SUM(CR208:CR$242)*(CR$64-CR$63)/CR$64*CS207)</f>
        <v>61488</v>
      </c>
      <c r="CU207" s="87"/>
      <c r="CV207" s="87">
        <f t="shared" si="545"/>
        <v>0</v>
      </c>
      <c r="CW207" s="77">
        <f t="shared" si="546"/>
        <v>6.0999999999999999E-2</v>
      </c>
      <c r="CX207" s="87">
        <f>IF(OR($A207&gt;'Debt Service'!CV$58,$A207&lt;CV$51), 0, SUM(CV207:CV$242)*CW207*CV$63/CV$64+SUM(CV208:CV$242)*(CV$64-CV$63)/CV$64*CW207)</f>
        <v>206119</v>
      </c>
      <c r="CY207" s="87"/>
      <c r="CZ207" s="165">
        <f t="shared" si="547"/>
        <v>0</v>
      </c>
      <c r="DA207" s="165">
        <f t="shared" si="548"/>
        <v>267607</v>
      </c>
      <c r="DB207" s="87"/>
      <c r="DC207" s="87">
        <f t="shared" si="549"/>
        <v>0</v>
      </c>
      <c r="DD207" s="77">
        <f t="shared" si="550"/>
        <v>6.0999999999999999E-2</v>
      </c>
      <c r="DE207" s="87">
        <f>IF(OR($A207&gt;DC$191, $A207&lt;DC$51), 0, SUM(DC207:DC$242)*DD207*DC$63/DC$64+SUM(DC208:DC$242)*(DC$64-DC$63)/DC$64*DD207)</f>
        <v>455304</v>
      </c>
      <c r="DF207" s="87"/>
      <c r="DG207" s="87">
        <f t="shared" si="551"/>
        <v>0</v>
      </c>
      <c r="DH207" s="77" t="str">
        <f t="shared" si="552"/>
        <v xml:space="preserve">   </v>
      </c>
      <c r="DI207" s="87">
        <f>IF(OR($A207&gt;DG$58, $A207&lt;DG$51), 0, SUM(DG207:DG$242)*DH207*DG$63/DG$64+SUM(DG208:DG$242)*(DG$64-DG$63)/DG$64*DH207)</f>
        <v>0</v>
      </c>
      <c r="DJ207" s="87"/>
      <c r="DK207" s="87">
        <f t="shared" si="553"/>
        <v>0</v>
      </c>
      <c r="DL207" s="77" t="str">
        <f t="shared" si="554"/>
        <v xml:space="preserve">   </v>
      </c>
      <c r="DM207" s="87">
        <f>IF(OR($A207&gt;DK$58, $A207&lt;DK$51), 0, SUM(DK207:DK$242)*DL207*DK$63/DK$64+SUM(DK208:DK$242)*(DK$64-DK$63)/DK$64*DL207)</f>
        <v>0</v>
      </c>
      <c r="DN207" s="87"/>
      <c r="DO207" s="87">
        <f t="shared" si="555"/>
        <v>0</v>
      </c>
      <c r="DP207" s="77" t="str">
        <f t="shared" si="556"/>
        <v xml:space="preserve">   </v>
      </c>
      <c r="DQ207" s="87">
        <f>IF(OR($A207&gt;DO$58, $A207&lt;DO$51), 0, SUM(DO207:DO$242)*DP207*DO$63/DO$64+SUM(DO208:DO$242)*(DO$64-DO$63)/DO$64*DP207)</f>
        <v>0</v>
      </c>
      <c r="DR207" s="87"/>
      <c r="DS207" s="87">
        <f t="shared" si="557"/>
        <v>0</v>
      </c>
      <c r="DT207" s="77" t="str">
        <f t="shared" si="558"/>
        <v xml:space="preserve">   </v>
      </c>
      <c r="DU207" s="87">
        <f>IF(OR($A207&gt;DS$58, $A207&lt;DS$51), 0, SUM(DS207:DS$242)*DT207*DS$63/DS$64+SUM(DS208:DS$242)*(DS$64-DS$63)/DS$64*DT207)</f>
        <v>0</v>
      </c>
      <c r="DV207" s="8"/>
      <c r="DW207" s="217">
        <f t="shared" ref="DW207:DW209" si="567">AV207+BK207+BV207+BY207+CO207+CZ207+DC207+DG207+DK207+DO207+DS207-HLOOKUP($A207, $DG$66:$DU$67,$ED$67, FALSE)</f>
        <v>0</v>
      </c>
      <c r="DX207" s="165">
        <f t="shared" ref="DX207:DX242" si="568">AW207+BL207+BW207+CA207+CP207+DA207+DE207+DI207+DM207+DQ207+DU207</f>
        <v>2091926.6</v>
      </c>
      <c r="DY207" s="8"/>
      <c r="DZ207" s="53">
        <f t="shared" si="559"/>
        <v>2025</v>
      </c>
      <c r="EA207" s="35">
        <f t="shared" si="560"/>
        <v>0</v>
      </c>
      <c r="EB207" s="35">
        <f t="shared" si="561"/>
        <v>3889497.3000000003</v>
      </c>
      <c r="EC207" s="35">
        <f>EC206-EA207</f>
        <v>73031000</v>
      </c>
      <c r="ED207" s="143">
        <f t="shared" ref="ED207:ED242" si="569">ED206+1</f>
        <v>2</v>
      </c>
      <c r="EE207"/>
    </row>
    <row r="208" spans="1:137" s="33" customFormat="1" outlineLevel="1">
      <c r="A208" s="7">
        <f t="shared" si="562"/>
        <v>2026</v>
      </c>
      <c r="B208" s="151">
        <f>Assumptions!B10</f>
        <v>5.3800000000000001E-2</v>
      </c>
      <c r="C208" s="151">
        <f>Assumptions!C10</f>
        <v>5.3800000000000001E-2</v>
      </c>
      <c r="D208" s="151">
        <f>Assumptions!D10</f>
        <v>3.5000000000000003E-2</v>
      </c>
      <c r="E208" s="151">
        <f>Assumptions!E10</f>
        <v>5.2999999999999999E-2</v>
      </c>
      <c r="F208" s="8"/>
      <c r="G208" s="8"/>
      <c r="H208" s="8"/>
      <c r="I208" s="8"/>
      <c r="J208" s="8"/>
      <c r="K208" s="8"/>
      <c r="L208" s="8"/>
      <c r="M208" s="87">
        <f t="shared" si="504"/>
        <v>0</v>
      </c>
      <c r="N208" s="77">
        <f t="shared" si="505"/>
        <v>5.2100000000000007E-2</v>
      </c>
      <c r="O208" s="87">
        <f>IF($A208&gt;'Debt Service'!M$58, 0, SUM(M208:M$242)*N208*M$63/M$64+SUM(M209:M$242)*(M$64-M$63)/M$64*N208)</f>
        <v>35506.15</v>
      </c>
      <c r="P208" s="35"/>
      <c r="Q208" s="87">
        <f t="shared" si="506"/>
        <v>0</v>
      </c>
      <c r="R208" s="77">
        <f t="shared" si="507"/>
        <v>5.2100000000000007E-2</v>
      </c>
      <c r="S208" s="87">
        <f>IF($A208&gt;'Debt Service'!Q$58, 0, SUM(Q208:Q$242)*R208*Q$63/Q$64+SUM(Q209:Q$242)*(Q$64-Q$63)/Q$64*R208)</f>
        <v>52100.000000000007</v>
      </c>
      <c r="T208" s="35"/>
      <c r="U208" s="35">
        <f t="shared" si="508"/>
        <v>0</v>
      </c>
      <c r="V208" s="35">
        <f t="shared" si="509"/>
        <v>87606.150000000009</v>
      </c>
      <c r="W208" s="35"/>
      <c r="X208" s="87">
        <f t="shared" si="510"/>
        <v>0</v>
      </c>
      <c r="Y208" s="77">
        <f t="shared" si="511"/>
        <v>5.1299999999999998E-2</v>
      </c>
      <c r="Z208" s="87">
        <f>IF($A208&gt;'Debt Service'!X$58, 0, SUM(X208:X$242)*Y208*X$63/X$64+SUM(X209:X$242)*(X$64-X$63)/X$64*Y208)</f>
        <v>1126214.55</v>
      </c>
      <c r="AA208" s="87"/>
      <c r="AB208" s="87">
        <f t="shared" si="512"/>
        <v>0</v>
      </c>
      <c r="AC208" s="77">
        <f t="shared" si="513"/>
        <v>4.6700000000000005E-2</v>
      </c>
      <c r="AD208" s="87">
        <f>IF($A208&gt;'Debt Service'!AB$58, 0, SUM(AB208:AB$242)*AC208*AB$63/AB$64+SUM(AB209:AB$242)*(AB$64-AB$63)/AB$64*AC208)</f>
        <v>583750.00000000012</v>
      </c>
      <c r="AE208" s="35"/>
      <c r="AF208" s="87">
        <f t="shared" si="514"/>
        <v>0</v>
      </c>
      <c r="AG208" s="77">
        <f t="shared" si="515"/>
        <v>4.3000000000000003E-2</v>
      </c>
      <c r="AH208" s="87">
        <f>IF($A208&gt;'Debt Service'!AF$58, 0, SUM(AF208:AF$242)*AG208*AF$63/AF$64+SUM(AF209:AF$242)*(AF$64-AF$63)/AF$64*AG208)</f>
        <v>28208.000000000004</v>
      </c>
      <c r="AI208" s="35"/>
      <c r="AJ208" s="87">
        <f t="shared" si="516"/>
        <v>0</v>
      </c>
      <c r="AK208" s="77">
        <f t="shared" si="517"/>
        <v>4.3000000000000003E-2</v>
      </c>
      <c r="AL208" s="87">
        <f>IF($A208&gt;'Debt Service'!AJ$58, 0, SUM(AJ208:AJ$242)*AK208*AJ$63/AJ$64+SUM(AJ209:AJ$242)*(AJ$64-AJ$63)/AJ$64*AK208)</f>
        <v>135020</v>
      </c>
      <c r="AM208" s="35"/>
      <c r="AN208" s="87"/>
      <c r="AO208" s="77" t="str">
        <f t="shared" si="518"/>
        <v xml:space="preserve">   </v>
      </c>
      <c r="AP208" s="87">
        <f>IF($A208&gt;'Debt Service'!AN$58, 0, SUM(AN208:AN$242)*AO208*AN$63/AN$64+SUM(AN209:AN$242)*(AN$64-AN$63)/AN$64*AO208)</f>
        <v>0</v>
      </c>
      <c r="AQ208" s="35"/>
      <c r="AR208" s="87">
        <f t="shared" si="519"/>
        <v>0</v>
      </c>
      <c r="AS208" s="77">
        <f t="shared" si="520"/>
        <v>4.3000000000000003E-2</v>
      </c>
      <c r="AT208" s="87">
        <f>IF($A208&gt;'Debt Service'!AR$58, 0, SUM(AR208:AR$242)*AS208*AR$63/AR$64+SUM(AR209:AR$242)*(AR$64-AR$63)/AR$64*AS208)</f>
        <v>127796.00000000001</v>
      </c>
      <c r="AV208" s="35">
        <f t="shared" si="521"/>
        <v>0</v>
      </c>
      <c r="AW208" s="35">
        <f t="shared" si="522"/>
        <v>291024</v>
      </c>
      <c r="AX208" s="35"/>
      <c r="AY208" s="87">
        <f t="shared" si="523"/>
        <v>0</v>
      </c>
      <c r="AZ208" s="77">
        <f t="shared" si="524"/>
        <v>6.0999999999999999E-2</v>
      </c>
      <c r="BA208" s="87">
        <f>IF($A208&gt;'Debt Service'!AY$58, 0, SUM(AY208:AY$242)*AZ208*AY$63/AY$64+SUM(AY209:AY$242)*(AY$64-AY$63)/AY$64*AZ208)</f>
        <v>34221</v>
      </c>
      <c r="BB208" s="61"/>
      <c r="BC208" s="87">
        <f t="shared" si="525"/>
        <v>0</v>
      </c>
      <c r="BD208" s="77">
        <f t="shared" si="526"/>
        <v>6.0999999999999999E-2</v>
      </c>
      <c r="BE208" s="87">
        <f>IF($A208&gt;'Debt Service'!BC$58, 0, SUM(BC208:BC$242)*BD208*BC$63/BC$64+SUM(BC209:BC$242)*(BC$64-BC$63)/BC$64*BD208)</f>
        <v>97539</v>
      </c>
      <c r="BF208" s="61"/>
      <c r="BG208" s="87">
        <f t="shared" si="527"/>
        <v>0</v>
      </c>
      <c r="BH208" s="77">
        <f t="shared" si="528"/>
        <v>6.0999999999999999E-2</v>
      </c>
      <c r="BI208" s="87">
        <f>IF($A208&gt;'Debt Service'!BG$58, 0, SUM(BG208:BG$242)*BH208*BG$63/BG$64+SUM(BG209:BG$242)*(BG$64-BG$63)/BG$64*BH208)</f>
        <v>249063</v>
      </c>
      <c r="BJ208" s="61"/>
      <c r="BK208" s="35">
        <f t="shared" si="563"/>
        <v>0</v>
      </c>
      <c r="BL208" s="35">
        <f t="shared" si="564"/>
        <v>380823</v>
      </c>
      <c r="BM208" s="8"/>
      <c r="BN208" s="87">
        <f t="shared" si="529"/>
        <v>0</v>
      </c>
      <c r="BO208" s="77" t="str">
        <f t="shared" si="530"/>
        <v xml:space="preserve">   </v>
      </c>
      <c r="BP208" s="87">
        <f>IF($A208&gt;'Debt Service'!BN$58, 0, SUM(BN208:BN$242)*BO208*BN$63/BN$64+SUM(BN209:BN$242)*(BN$64-BN$63)/BN$64*BO208)</f>
        <v>0</v>
      </c>
      <c r="BQ208" s="77"/>
      <c r="BR208" s="87">
        <f t="shared" si="531"/>
        <v>0</v>
      </c>
      <c r="BS208" s="77">
        <f t="shared" si="532"/>
        <v>5.6799999999999996E-2</v>
      </c>
      <c r="BT208" s="87">
        <f>IF($A208&gt;'Debt Service'!BR$58, 0, SUM(BR208:BR$242)*BS208*BR$63/BR$64+SUM(BR209:BR$242)*(BR$64-BR$63)/BR$64*BS208)</f>
        <v>194710.39999999999</v>
      </c>
      <c r="BU208" s="87"/>
      <c r="BV208" s="35">
        <f t="shared" si="565"/>
        <v>0</v>
      </c>
      <c r="BW208" s="35">
        <f t="shared" si="566"/>
        <v>194710.39999999999</v>
      </c>
      <c r="BX208" s="87"/>
      <c r="BY208" s="87">
        <f t="shared" si="533"/>
        <v>0</v>
      </c>
      <c r="BZ208" s="77">
        <f t="shared" si="534"/>
        <v>5.6799999999999996E-2</v>
      </c>
      <c r="CA208" s="87">
        <f>IF($A208&gt;'Debt Service'!BY$58, 0, SUM(BY208:BY$242)*BZ208*BY$63/BY$64+SUM(BY209:BY$242)*(BY$64-BY$63)/BY$64*BZ208)</f>
        <v>106329.59999999999</v>
      </c>
      <c r="CB208" s="87"/>
      <c r="CC208" s="87">
        <f t="shared" si="535"/>
        <v>0</v>
      </c>
      <c r="CD208" s="77">
        <f t="shared" si="536"/>
        <v>5.6799999999999996E-2</v>
      </c>
      <c r="CE208" s="87">
        <f>IF(OR($A208&gt;'Debt Service'!CC$58,$A208&lt;CC$51), 0, SUM(CC208:CC$242)*CD208*CC$63/CC$64+SUM(CC209:CC$242)*(CC$64-CC$63)/CC$64*CD208)</f>
        <v>17608</v>
      </c>
      <c r="CF208" s="87"/>
      <c r="CG208" s="87">
        <f t="shared" si="537"/>
        <v>0</v>
      </c>
      <c r="CH208" s="77">
        <f t="shared" si="538"/>
        <v>5.6799999999999996E-2</v>
      </c>
      <c r="CI208" s="87">
        <f>IF(OR($A208&gt;'Debt Service'!CG$58,$A208&lt;CG$51), 0, SUM(CG208:CG$242)*CH208*CG$63/CG$64+SUM(CG209:CG$242)*(CG$64-CG$63)/CG$64*CH208)</f>
        <v>180453.59999999998</v>
      </c>
      <c r="CJ208" s="87"/>
      <c r="CK208" s="87">
        <f t="shared" si="539"/>
        <v>0</v>
      </c>
      <c r="CL208" s="77">
        <f t="shared" si="540"/>
        <v>6.0999999999999999E-2</v>
      </c>
      <c r="CM208" s="87">
        <f>IF(OR($A208&gt;'Debt Service'!CK$58,$A208&lt;CK$51), 0, SUM(CK208:CK$242)*CL208*CK$63/CK$64+SUM(CK209:CK$242)*(CK$64-CK$63)/CK$64*CL208)</f>
        <v>198067</v>
      </c>
      <c r="CN208" s="87"/>
      <c r="CO208" s="162">
        <f t="shared" si="541"/>
        <v>0</v>
      </c>
      <c r="CP208" s="87">
        <f t="shared" si="542"/>
        <v>396128.6</v>
      </c>
      <c r="CQ208" s="8"/>
      <c r="CR208" s="87">
        <f t="shared" si="543"/>
        <v>0</v>
      </c>
      <c r="CS208" s="77">
        <f t="shared" si="544"/>
        <v>6.0999999999999999E-2</v>
      </c>
      <c r="CT208" s="87">
        <f>IF(OR($A208&gt;'Debt Service'!CR$58,$A208&lt;CR$51), 0, SUM(CR208:CR$242)*CS208*CR$63/CR$64+SUM(CR209:CR$242)*(CR$64-CR$63)/CR$64*CS208)</f>
        <v>61488</v>
      </c>
      <c r="CU208" s="87"/>
      <c r="CV208" s="87">
        <f t="shared" si="545"/>
        <v>0</v>
      </c>
      <c r="CW208" s="77">
        <f t="shared" si="546"/>
        <v>6.0999999999999999E-2</v>
      </c>
      <c r="CX208" s="87">
        <f>IF(OR($A208&gt;'Debt Service'!CV$58,$A208&lt;CV$51), 0, SUM(CV208:CV$242)*CW208*CV$63/CV$64+SUM(CV209:CV$242)*(CV$64-CV$63)/CV$64*CW208)</f>
        <v>206119</v>
      </c>
      <c r="CY208" s="87"/>
      <c r="CZ208" s="165">
        <f t="shared" si="547"/>
        <v>0</v>
      </c>
      <c r="DA208" s="165">
        <f t="shared" si="548"/>
        <v>267607</v>
      </c>
      <c r="DB208" s="87"/>
      <c r="DC208" s="87">
        <f t="shared" si="549"/>
        <v>0</v>
      </c>
      <c r="DD208" s="77">
        <f t="shared" si="550"/>
        <v>6.0999999999999999E-2</v>
      </c>
      <c r="DE208" s="87">
        <f>IF(OR($A208&gt;DC$191, $A208&lt;DC$51), 0, SUM(DC208:DC$242)*DD208*DC$63/DC$64+SUM(DC209:DC$242)*(DC$64-DC$63)/DC$64*DD208)</f>
        <v>455304</v>
      </c>
      <c r="DF208" s="87"/>
      <c r="DG208" s="87">
        <f t="shared" si="551"/>
        <v>0</v>
      </c>
      <c r="DH208" s="77" t="str">
        <f t="shared" si="552"/>
        <v xml:space="preserve">   </v>
      </c>
      <c r="DI208" s="87">
        <f>IF(OR($A208&gt;DG$58, $A208&lt;DG$51), 0, SUM(DG208:DG$242)*DH208*DG$63/DG$64+SUM(DG209:DG$242)*(DG$64-DG$63)/DG$64*DH208)</f>
        <v>0</v>
      </c>
      <c r="DJ208" s="87"/>
      <c r="DK208" s="87">
        <f t="shared" si="553"/>
        <v>0</v>
      </c>
      <c r="DL208" s="77" t="str">
        <f t="shared" si="554"/>
        <v xml:space="preserve">   </v>
      </c>
      <c r="DM208" s="87">
        <f>IF(OR($A208&gt;DK$58, $A208&lt;DK$51), 0, SUM(DK208:DK$242)*DL208*DK$63/DK$64+SUM(DK209:DK$242)*(DK$64-DK$63)/DK$64*DL208)</f>
        <v>0</v>
      </c>
      <c r="DN208" s="87"/>
      <c r="DO208" s="87">
        <f t="shared" si="555"/>
        <v>0</v>
      </c>
      <c r="DP208" s="77" t="str">
        <f t="shared" si="556"/>
        <v xml:space="preserve">   </v>
      </c>
      <c r="DQ208" s="87">
        <f>IF(OR($A208&gt;DO$58, $A208&lt;DO$51), 0, SUM(DO208:DO$242)*DP208*DO$63/DO$64+SUM(DO209:DO$242)*(DO$64-DO$63)/DO$64*DP208)</f>
        <v>0</v>
      </c>
      <c r="DR208" s="87"/>
      <c r="DS208" s="87">
        <f t="shared" si="557"/>
        <v>0</v>
      </c>
      <c r="DT208" s="77" t="str">
        <f t="shared" si="558"/>
        <v xml:space="preserve">   </v>
      </c>
      <c r="DU208" s="87">
        <f>IF(OR($A208&gt;DS$58, $A208&lt;DS$51), 0, SUM(DS208:DS$242)*DT208*DS$63/DS$64+SUM(DS209:DS$242)*(DS$64-DS$63)/DS$64*DT208)</f>
        <v>0</v>
      </c>
      <c r="DV208" s="8"/>
      <c r="DW208" s="217">
        <f t="shared" si="567"/>
        <v>0</v>
      </c>
      <c r="DX208" s="165">
        <f t="shared" si="568"/>
        <v>2091926.6</v>
      </c>
      <c r="DY208" s="8"/>
      <c r="DZ208" s="53">
        <f t="shared" si="559"/>
        <v>2026</v>
      </c>
      <c r="EA208" s="35">
        <f t="shared" si="560"/>
        <v>0</v>
      </c>
      <c r="EB208" s="35">
        <f t="shared" si="561"/>
        <v>3889497.3000000003</v>
      </c>
      <c r="EC208" s="35">
        <f t="shared" ref="EC208:EC242" si="570">EC207-EA208</f>
        <v>73031000</v>
      </c>
      <c r="ED208" s="143">
        <f t="shared" si="569"/>
        <v>3</v>
      </c>
      <c r="EE208"/>
    </row>
    <row r="209" spans="1:135" s="33" customFormat="1" outlineLevel="1">
      <c r="A209" s="7">
        <f t="shared" si="562"/>
        <v>2027</v>
      </c>
      <c r="B209" s="151">
        <f>Assumptions!B11</f>
        <v>5.3800000000000001E-2</v>
      </c>
      <c r="C209" s="151">
        <f>Assumptions!C11</f>
        <v>5.3800000000000001E-2</v>
      </c>
      <c r="D209" s="151">
        <f>Assumptions!D11</f>
        <v>3.5000000000000003E-2</v>
      </c>
      <c r="E209" s="151">
        <f>Assumptions!E11</f>
        <v>5.2999999999999999E-2</v>
      </c>
      <c r="F209" s="8"/>
      <c r="G209" s="8"/>
      <c r="H209" s="8"/>
      <c r="I209" s="8"/>
      <c r="J209" s="8"/>
      <c r="K209" s="8"/>
      <c r="L209" s="8"/>
      <c r="M209" s="87">
        <f t="shared" si="504"/>
        <v>681500</v>
      </c>
      <c r="N209" s="77">
        <f t="shared" si="505"/>
        <v>5.2100000000000007E-2</v>
      </c>
      <c r="O209" s="87">
        <f>IF($A209&gt;'Debt Service'!M$58, 0, SUM(M209:M$242)*N209*M$63/M$64+SUM(M210:M$242)*(M$64-M$63)/M$64*N209)</f>
        <v>35506.15</v>
      </c>
      <c r="P209" s="35"/>
      <c r="Q209" s="87">
        <f t="shared" si="506"/>
        <v>1000000</v>
      </c>
      <c r="R209" s="77">
        <f t="shared" si="507"/>
        <v>5.2100000000000007E-2</v>
      </c>
      <c r="S209" s="87">
        <f>IF($A209&gt;'Debt Service'!Q$58, 0, SUM(Q209:Q$242)*R209*Q$63/Q$64+SUM(Q210:Q$242)*(Q$64-Q$63)/Q$64*R209)</f>
        <v>52100.000000000007</v>
      </c>
      <c r="T209" s="35"/>
      <c r="U209" s="35">
        <f t="shared" si="508"/>
        <v>1681500</v>
      </c>
      <c r="V209" s="35">
        <f t="shared" si="509"/>
        <v>87606.150000000009</v>
      </c>
      <c r="W209" s="35"/>
      <c r="X209" s="87">
        <f t="shared" si="510"/>
        <v>0</v>
      </c>
      <c r="Y209" s="77">
        <f t="shared" si="511"/>
        <v>5.1299999999999998E-2</v>
      </c>
      <c r="Z209" s="87">
        <f>IF($A209&gt;'Debt Service'!X$58, 0, SUM(X209:X$242)*Y209*X$63/X$64+SUM(X210:X$242)*(X$64-X$63)/X$64*Y209)</f>
        <v>1126214.55</v>
      </c>
      <c r="AA209" s="87"/>
      <c r="AB209" s="87">
        <f t="shared" si="512"/>
        <v>0</v>
      </c>
      <c r="AC209" s="77">
        <f t="shared" si="513"/>
        <v>4.6700000000000005E-2</v>
      </c>
      <c r="AD209" s="87">
        <f>IF($A209&gt;'Debt Service'!AB$58, 0, SUM(AB209:AB$242)*AC209*AB$63/AB$64+SUM(AB210:AB$242)*(AB$64-AB$63)/AB$64*AC209)</f>
        <v>583750.00000000012</v>
      </c>
      <c r="AE209" s="35"/>
      <c r="AF209" s="87">
        <f t="shared" si="514"/>
        <v>0</v>
      </c>
      <c r="AG209" s="77">
        <f t="shared" si="515"/>
        <v>4.3000000000000003E-2</v>
      </c>
      <c r="AH209" s="87">
        <f>IF($A209&gt;'Debt Service'!AF$58, 0, SUM(AF209:AF$242)*AG209*AF$63/AF$64+SUM(AF210:AF$242)*(AF$64-AF$63)/AF$64*AG209)</f>
        <v>28208.000000000004</v>
      </c>
      <c r="AI209" s="35"/>
      <c r="AJ209" s="87">
        <f t="shared" si="516"/>
        <v>0</v>
      </c>
      <c r="AK209" s="77">
        <f t="shared" si="517"/>
        <v>4.3000000000000003E-2</v>
      </c>
      <c r="AL209" s="87">
        <f>IF($A209&gt;'Debt Service'!AJ$58, 0, SUM(AJ209:AJ$242)*AK209*AJ$63/AJ$64+SUM(AJ210:AJ$242)*(AJ$64-AJ$63)/AJ$64*AK209)</f>
        <v>135020</v>
      </c>
      <c r="AM209" s="35"/>
      <c r="AN209" s="87"/>
      <c r="AO209" s="77" t="str">
        <f t="shared" si="518"/>
        <v xml:space="preserve">   </v>
      </c>
      <c r="AP209" s="87">
        <f>IF($A209&gt;'Debt Service'!AN$58, 0, SUM(AN209:AN$242)*AO209*AN$63/AN$64+SUM(AN210:AN$242)*(AN$64-AN$63)/AN$64*AO209)</f>
        <v>0</v>
      </c>
      <c r="AQ209" s="35"/>
      <c r="AR209" s="87">
        <f t="shared" si="519"/>
        <v>0</v>
      </c>
      <c r="AS209" s="77">
        <f t="shared" si="520"/>
        <v>4.3000000000000003E-2</v>
      </c>
      <c r="AT209" s="87">
        <f>IF($A209&gt;'Debt Service'!AR$58, 0, SUM(AR209:AR$242)*AS209*AR$63/AR$64+SUM(AR210:AR$242)*(AR$64-AR$63)/AR$64*AS209)</f>
        <v>127796.00000000001</v>
      </c>
      <c r="AV209" s="35">
        <f t="shared" si="521"/>
        <v>0</v>
      </c>
      <c r="AW209" s="35">
        <f t="shared" si="522"/>
        <v>291024</v>
      </c>
      <c r="AX209" s="35"/>
      <c r="AY209" s="87">
        <f t="shared" si="523"/>
        <v>0</v>
      </c>
      <c r="AZ209" s="77">
        <f t="shared" si="524"/>
        <v>6.0999999999999999E-2</v>
      </c>
      <c r="BA209" s="87">
        <f>IF($A209&gt;'Debt Service'!AY$58, 0, SUM(AY209:AY$242)*AZ209*AY$63/AY$64+SUM(AY210:AY$242)*(AY$64-AY$63)/AY$64*AZ209)</f>
        <v>34221</v>
      </c>
      <c r="BB209" s="61"/>
      <c r="BC209" s="87">
        <f t="shared" si="525"/>
        <v>0</v>
      </c>
      <c r="BD209" s="77">
        <f t="shared" si="526"/>
        <v>6.0999999999999999E-2</v>
      </c>
      <c r="BE209" s="87">
        <f>IF($A209&gt;'Debt Service'!BC$58, 0, SUM(BC209:BC$242)*BD209*BC$63/BC$64+SUM(BC210:BC$242)*(BC$64-BC$63)/BC$64*BD209)</f>
        <v>97539</v>
      </c>
      <c r="BF209" s="61"/>
      <c r="BG209" s="87">
        <f t="shared" si="527"/>
        <v>0</v>
      </c>
      <c r="BH209" s="77">
        <f t="shared" si="528"/>
        <v>6.0999999999999999E-2</v>
      </c>
      <c r="BI209" s="87">
        <f>IF($A209&gt;'Debt Service'!BG$58, 0, SUM(BG209:BG$242)*BH209*BG$63/BG$64+SUM(BG210:BG$242)*(BG$64-BG$63)/BG$64*BH209)</f>
        <v>249063</v>
      </c>
      <c r="BJ209" s="61"/>
      <c r="BK209" s="35">
        <f t="shared" si="563"/>
        <v>0</v>
      </c>
      <c r="BL209" s="35">
        <f t="shared" si="564"/>
        <v>380823</v>
      </c>
      <c r="BM209" s="8"/>
      <c r="BN209" s="87">
        <f t="shared" si="529"/>
        <v>0</v>
      </c>
      <c r="BO209" s="77" t="str">
        <f t="shared" si="530"/>
        <v xml:space="preserve">   </v>
      </c>
      <c r="BP209" s="87">
        <f>IF($A209&gt;'Debt Service'!BN$58, 0, SUM(BN209:BN$242)*BO209*BN$63/BN$64+SUM(BN210:BN$242)*(BN$64-BN$63)/BN$64*BO209)</f>
        <v>0</v>
      </c>
      <c r="BQ209" s="77"/>
      <c r="BR209" s="87">
        <f t="shared" si="531"/>
        <v>0</v>
      </c>
      <c r="BS209" s="77">
        <f t="shared" si="532"/>
        <v>5.6799999999999996E-2</v>
      </c>
      <c r="BT209" s="87">
        <f>IF($A209&gt;'Debt Service'!BR$58, 0, SUM(BR209:BR$242)*BS209*BR$63/BR$64+SUM(BR210:BR$242)*(BR$64-BR$63)/BR$64*BS209)</f>
        <v>194710.39999999999</v>
      </c>
      <c r="BU209" s="87"/>
      <c r="BV209" s="35">
        <f t="shared" si="565"/>
        <v>0</v>
      </c>
      <c r="BW209" s="35">
        <f t="shared" si="566"/>
        <v>194710.39999999999</v>
      </c>
      <c r="BX209" s="87"/>
      <c r="BY209" s="87">
        <f t="shared" si="533"/>
        <v>0</v>
      </c>
      <c r="BZ209" s="77">
        <f t="shared" si="534"/>
        <v>5.6799999999999996E-2</v>
      </c>
      <c r="CA209" s="87">
        <f>IF($A209&gt;'Debt Service'!BY$58, 0, SUM(BY209:BY$242)*BZ209*BY$63/BY$64+SUM(BY210:BY$242)*(BY$64-BY$63)/BY$64*BZ209)</f>
        <v>106329.59999999999</v>
      </c>
      <c r="CB209" s="87"/>
      <c r="CC209" s="87">
        <f t="shared" si="535"/>
        <v>0</v>
      </c>
      <c r="CD209" s="77">
        <f t="shared" si="536"/>
        <v>5.6799999999999996E-2</v>
      </c>
      <c r="CE209" s="87">
        <f>IF(OR($A209&gt;'Debt Service'!CC$58,$A209&lt;CC$51), 0, SUM(CC209:CC$242)*CD209*CC$63/CC$64+SUM(CC210:CC$242)*(CC$64-CC$63)/CC$64*CD209)</f>
        <v>17608</v>
      </c>
      <c r="CF209" s="87"/>
      <c r="CG209" s="87">
        <f t="shared" si="537"/>
        <v>0</v>
      </c>
      <c r="CH209" s="77">
        <f t="shared" si="538"/>
        <v>5.6799999999999996E-2</v>
      </c>
      <c r="CI209" s="87">
        <f>IF(OR($A209&gt;'Debt Service'!CG$58,$A209&lt;CG$51), 0, SUM(CG209:CG$242)*CH209*CG$63/CG$64+SUM(CG210:CG$242)*(CG$64-CG$63)/CG$64*CH209)</f>
        <v>180453.59999999998</v>
      </c>
      <c r="CJ209" s="87"/>
      <c r="CK209" s="87">
        <f t="shared" si="539"/>
        <v>0</v>
      </c>
      <c r="CL209" s="77">
        <f t="shared" si="540"/>
        <v>6.0999999999999999E-2</v>
      </c>
      <c r="CM209" s="87">
        <f>IF(OR($A209&gt;'Debt Service'!CK$58,$A209&lt;CK$51), 0, SUM(CK209:CK$242)*CL209*CK$63/CK$64+SUM(CK210:CK$242)*(CK$64-CK$63)/CK$64*CL209)</f>
        <v>198067</v>
      </c>
      <c r="CN209" s="87"/>
      <c r="CO209" s="162">
        <f t="shared" si="541"/>
        <v>0</v>
      </c>
      <c r="CP209" s="87">
        <f t="shared" si="542"/>
        <v>396128.6</v>
      </c>
      <c r="CQ209" s="87"/>
      <c r="CR209" s="87">
        <f t="shared" si="543"/>
        <v>0</v>
      </c>
      <c r="CS209" s="77">
        <f t="shared" si="544"/>
        <v>6.0999999999999999E-2</v>
      </c>
      <c r="CT209" s="87">
        <f>IF(OR($A209&gt;'Debt Service'!CR$58,$A209&lt;CR$51), 0, SUM(CR209:CR$242)*CS209*CR$63/CR$64+SUM(CR210:CR$242)*(CR$64-CR$63)/CR$64*CS209)</f>
        <v>61488</v>
      </c>
      <c r="CU209" s="87"/>
      <c r="CV209" s="87">
        <f t="shared" si="545"/>
        <v>0</v>
      </c>
      <c r="CW209" s="77">
        <f t="shared" si="546"/>
        <v>6.0999999999999999E-2</v>
      </c>
      <c r="CX209" s="87">
        <f>IF(OR($A209&gt;'Debt Service'!CV$58,$A209&lt;CV$51), 0, SUM(CV209:CV$242)*CW209*CV$63/CV$64+SUM(CV210:CV$242)*(CV$64-CV$63)/CV$64*CW209)</f>
        <v>206119</v>
      </c>
      <c r="CY209" s="87"/>
      <c r="CZ209" s="165">
        <f t="shared" si="547"/>
        <v>0</v>
      </c>
      <c r="DA209" s="165">
        <f t="shared" si="548"/>
        <v>267607</v>
      </c>
      <c r="DB209" s="87"/>
      <c r="DC209" s="87">
        <f t="shared" si="549"/>
        <v>0</v>
      </c>
      <c r="DD209" s="77">
        <f t="shared" si="550"/>
        <v>6.0999999999999999E-2</v>
      </c>
      <c r="DE209" s="87">
        <f>IF(OR($A209&gt;DC$191, $A209&lt;DC$51), 0, SUM(DC209:DC$242)*DD209*DC$63/DC$64+SUM(DC210:DC$242)*(DC$64-DC$63)/DC$64*DD209)</f>
        <v>455304</v>
      </c>
      <c r="DF209" s="87"/>
      <c r="DG209" s="87">
        <f t="shared" si="551"/>
        <v>0</v>
      </c>
      <c r="DH209" s="77" t="str">
        <f t="shared" si="552"/>
        <v xml:space="preserve">   </v>
      </c>
      <c r="DI209" s="87">
        <f>IF(OR($A209&gt;DG$58, $A209&lt;DG$51), 0, SUM(DG209:DG$242)*DH209*DG$63/DG$64+SUM(DG210:DG$242)*(DG$64-DG$63)/DG$64*DH209)</f>
        <v>0</v>
      </c>
      <c r="DJ209" s="87"/>
      <c r="DK209" s="87">
        <f t="shared" si="553"/>
        <v>0</v>
      </c>
      <c r="DL209" s="77" t="str">
        <f t="shared" si="554"/>
        <v xml:space="preserve">   </v>
      </c>
      <c r="DM209" s="87">
        <f>IF(OR($A209&gt;DK$58, $A209&lt;DK$51), 0, SUM(DK209:DK$242)*DL209*DK$63/DK$64+SUM(DK210:DK$242)*(DK$64-DK$63)/DK$64*DL209)</f>
        <v>0</v>
      </c>
      <c r="DN209" s="87"/>
      <c r="DO209" s="87">
        <f t="shared" si="555"/>
        <v>0</v>
      </c>
      <c r="DP209" s="77" t="str">
        <f t="shared" si="556"/>
        <v xml:space="preserve">   </v>
      </c>
      <c r="DQ209" s="87">
        <f>IF(OR($A209&gt;DO$58, $A209&lt;DO$51), 0, SUM(DO209:DO$242)*DP209*DO$63/DO$64+SUM(DO210:DO$242)*(DO$64-DO$63)/DO$64*DP209)</f>
        <v>0</v>
      </c>
      <c r="DR209" s="87"/>
      <c r="DS209" s="87">
        <f t="shared" si="557"/>
        <v>0</v>
      </c>
      <c r="DT209" s="77" t="str">
        <f t="shared" si="558"/>
        <v xml:space="preserve">   </v>
      </c>
      <c r="DU209" s="87">
        <f>IF(OR($A209&gt;DS$58, $A209&lt;DS$51), 0, SUM(DS209:DS$242)*DT209*DS$63/DS$64+SUM(DS210:DS$242)*(DS$64-DS$63)/DS$64*DT209)</f>
        <v>0</v>
      </c>
      <c r="DV209" s="87"/>
      <c r="DW209" s="217">
        <f t="shared" si="567"/>
        <v>0</v>
      </c>
      <c r="DX209" s="165">
        <f t="shared" si="568"/>
        <v>2091926.6</v>
      </c>
      <c r="DY209" s="87"/>
      <c r="DZ209" s="53">
        <f t="shared" si="559"/>
        <v>2027</v>
      </c>
      <c r="EA209" s="35">
        <f t="shared" si="560"/>
        <v>1681500</v>
      </c>
      <c r="EB209" s="35">
        <f t="shared" si="561"/>
        <v>3889497.3000000003</v>
      </c>
      <c r="EC209" s="35">
        <f t="shared" si="570"/>
        <v>71349500</v>
      </c>
      <c r="ED209" s="143">
        <f t="shared" si="569"/>
        <v>4</v>
      </c>
      <c r="EE209"/>
    </row>
    <row r="210" spans="1:135" s="33" customFormat="1" outlineLevel="1">
      <c r="A210" s="7">
        <f t="shared" si="562"/>
        <v>2028</v>
      </c>
      <c r="B210" s="151">
        <f>Assumptions!B12</f>
        <v>5.3800000000000001E-2</v>
      </c>
      <c r="C210" s="151">
        <f>Assumptions!C12</f>
        <v>5.3800000000000001E-2</v>
      </c>
      <c r="D210" s="151">
        <f>Assumptions!D12</f>
        <v>3.5000000000000003E-2</v>
      </c>
      <c r="E210" s="151">
        <f>Assumptions!E12</f>
        <v>5.2999999999999999E-2</v>
      </c>
      <c r="F210" s="8"/>
      <c r="G210" s="8"/>
      <c r="H210" s="8"/>
      <c r="I210" s="8"/>
      <c r="J210" s="8"/>
      <c r="K210" s="8"/>
      <c r="L210" s="8"/>
      <c r="M210" s="87">
        <f t="shared" si="504"/>
        <v>0</v>
      </c>
      <c r="N210" s="77" t="str">
        <f t="shared" si="505"/>
        <v xml:space="preserve">   </v>
      </c>
      <c r="O210" s="87">
        <f>IF($A210&gt;'Debt Service'!M$58, 0, SUM(M210:M$242)*N210*M$63/M$64+SUM(M211:M$242)*(M$64-M$63)/M$64*N210)</f>
        <v>0</v>
      </c>
      <c r="P210" s="35"/>
      <c r="Q210" s="87">
        <f t="shared" si="506"/>
        <v>0</v>
      </c>
      <c r="R210" s="77" t="str">
        <f t="shared" si="507"/>
        <v xml:space="preserve">   </v>
      </c>
      <c r="S210" s="87">
        <f>IF($A210&gt;'Debt Service'!Q$58, 0, SUM(Q210:Q$242)*R210*Q$63/Q$64+SUM(Q211:Q$242)*(Q$64-Q$63)/Q$64*R210)</f>
        <v>0</v>
      </c>
      <c r="T210" s="35"/>
      <c r="U210" s="35">
        <f t="shared" si="508"/>
        <v>0</v>
      </c>
      <c r="V210" s="35">
        <f t="shared" si="509"/>
        <v>0</v>
      </c>
      <c r="W210" s="35"/>
      <c r="X210" s="87">
        <f t="shared" si="510"/>
        <v>21953500</v>
      </c>
      <c r="Y210" s="77">
        <f t="shared" si="511"/>
        <v>5.1299999999999998E-2</v>
      </c>
      <c r="Z210" s="87">
        <f>IF($A210&gt;'Debt Service'!X$58, 0, SUM(X210:X$242)*Y210*X$63/X$64+SUM(X211:X$242)*(X$64-X$63)/X$64*Y210)</f>
        <v>1126214.55</v>
      </c>
      <c r="AA210" s="87"/>
      <c r="AB210" s="87">
        <f t="shared" si="512"/>
        <v>0</v>
      </c>
      <c r="AC210" s="77">
        <f t="shared" si="513"/>
        <v>4.6700000000000005E-2</v>
      </c>
      <c r="AD210" s="87">
        <f>IF($A210&gt;'Debt Service'!AB$58, 0, SUM(AB210:AB$242)*AC210*AB$63/AB$64+SUM(AB211:AB$242)*(AB$64-AB$63)/AB$64*AC210)</f>
        <v>583750.00000000012</v>
      </c>
      <c r="AE210" s="35"/>
      <c r="AF210" s="87">
        <f t="shared" si="514"/>
        <v>0</v>
      </c>
      <c r="AG210" s="77">
        <f t="shared" si="515"/>
        <v>4.3000000000000003E-2</v>
      </c>
      <c r="AH210" s="87">
        <f>IF($A210&gt;'Debt Service'!AF$58, 0, SUM(AF210:AF$242)*AG210*AF$63/AF$64+SUM(AF211:AF$242)*(AF$64-AF$63)/AF$64*AG210)</f>
        <v>28208.000000000004</v>
      </c>
      <c r="AI210" s="35"/>
      <c r="AJ210" s="87">
        <f t="shared" si="516"/>
        <v>0</v>
      </c>
      <c r="AK210" s="77">
        <f t="shared" si="517"/>
        <v>4.3000000000000003E-2</v>
      </c>
      <c r="AL210" s="87">
        <f>IF($A210&gt;'Debt Service'!AJ$58, 0, SUM(AJ210:AJ$242)*AK210*AJ$63/AJ$64+SUM(AJ211:AJ$242)*(AJ$64-AJ$63)/AJ$64*AK210)</f>
        <v>135020</v>
      </c>
      <c r="AM210" s="35"/>
      <c r="AN210" s="87"/>
      <c r="AO210" s="77" t="str">
        <f t="shared" si="518"/>
        <v xml:space="preserve">   </v>
      </c>
      <c r="AP210" s="87">
        <f>IF($A210&gt;'Debt Service'!AN$58, 0, SUM(AN210:AN$242)*AO210*AN$63/AN$64+SUM(AN211:AN$242)*(AN$64-AN$63)/AN$64*AO210)</f>
        <v>0</v>
      </c>
      <c r="AQ210" s="35"/>
      <c r="AR210" s="87">
        <f t="shared" si="519"/>
        <v>0</v>
      </c>
      <c r="AS210" s="77">
        <f t="shared" si="520"/>
        <v>4.3000000000000003E-2</v>
      </c>
      <c r="AT210" s="87">
        <f>IF($A210&gt;'Debt Service'!AR$58, 0, SUM(AR210:AR$242)*AS210*AR$63/AR$64+SUM(AR211:AR$242)*(AR$64-AR$63)/AR$64*AS210)</f>
        <v>127796.00000000001</v>
      </c>
      <c r="AV210" s="35">
        <f t="shared" si="521"/>
        <v>0</v>
      </c>
      <c r="AW210" s="35">
        <f t="shared" si="522"/>
        <v>291024</v>
      </c>
      <c r="AX210" s="35"/>
      <c r="AY210" s="87">
        <f t="shared" si="523"/>
        <v>0</v>
      </c>
      <c r="AZ210" s="77">
        <f t="shared" si="524"/>
        <v>6.0999999999999999E-2</v>
      </c>
      <c r="BA210" s="87">
        <f>IF($A210&gt;'Debt Service'!AY$58, 0, SUM(AY210:AY$242)*AZ210*AY$63/AY$64+SUM(AY211:AY$242)*(AY$64-AY$63)/AY$64*AZ210)</f>
        <v>34221</v>
      </c>
      <c r="BB210" s="61"/>
      <c r="BC210" s="87">
        <f t="shared" si="525"/>
        <v>0</v>
      </c>
      <c r="BD210" s="77">
        <f t="shared" si="526"/>
        <v>6.0999999999999999E-2</v>
      </c>
      <c r="BE210" s="87">
        <f>IF($A210&gt;'Debt Service'!BC$58, 0, SUM(BC210:BC$242)*BD210*BC$63/BC$64+SUM(BC211:BC$242)*(BC$64-BC$63)/BC$64*BD210)</f>
        <v>97539</v>
      </c>
      <c r="BF210" s="61"/>
      <c r="BG210" s="87">
        <f t="shared" si="527"/>
        <v>0</v>
      </c>
      <c r="BH210" s="77">
        <f t="shared" si="528"/>
        <v>6.0999999999999999E-2</v>
      </c>
      <c r="BI210" s="87">
        <f>IF($A210&gt;'Debt Service'!BG$58, 0, SUM(BG210:BG$242)*BH210*BG$63/BG$64+SUM(BG211:BG$242)*(BG$64-BG$63)/BG$64*BH210)</f>
        <v>249063</v>
      </c>
      <c r="BJ210" s="61"/>
      <c r="BK210" s="35">
        <f t="shared" si="563"/>
        <v>0</v>
      </c>
      <c r="BL210" s="35">
        <f t="shared" si="564"/>
        <v>380823</v>
      </c>
      <c r="BM210" s="8"/>
      <c r="BN210" s="87">
        <f t="shared" si="529"/>
        <v>0</v>
      </c>
      <c r="BO210" s="77" t="str">
        <f t="shared" si="530"/>
        <v xml:space="preserve">   </v>
      </c>
      <c r="BP210" s="87">
        <f>IF($A210&gt;'Debt Service'!BN$58, 0, SUM(BN210:BN$242)*BO210*BN$63/BN$64+SUM(BN211:BN$242)*(BN$64-BN$63)/BN$64*BO210)</f>
        <v>0</v>
      </c>
      <c r="BQ210" s="77"/>
      <c r="BR210" s="87">
        <f t="shared" si="531"/>
        <v>0</v>
      </c>
      <c r="BS210" s="77">
        <f t="shared" si="532"/>
        <v>5.6799999999999996E-2</v>
      </c>
      <c r="BT210" s="87">
        <f>IF($A210&gt;'Debt Service'!BR$58, 0, SUM(BR210:BR$242)*BS210*BR$63/BR$64+SUM(BR211:BR$242)*(BR$64-BR$63)/BR$64*BS210)</f>
        <v>194710.39999999999</v>
      </c>
      <c r="BU210" s="87"/>
      <c r="BV210" s="35">
        <f t="shared" si="565"/>
        <v>0</v>
      </c>
      <c r="BW210" s="35">
        <f t="shared" si="566"/>
        <v>194710.39999999999</v>
      </c>
      <c r="BX210" s="87"/>
      <c r="BY210" s="87">
        <f t="shared" si="533"/>
        <v>0</v>
      </c>
      <c r="BZ210" s="77">
        <f t="shared" si="534"/>
        <v>5.6799999999999996E-2</v>
      </c>
      <c r="CA210" s="87">
        <f>IF($A210&gt;'Debt Service'!BY$58, 0, SUM(BY210:BY$242)*BZ210*BY$63/BY$64+SUM(BY211:BY$242)*(BY$64-BY$63)/BY$64*BZ210)</f>
        <v>106329.59999999999</v>
      </c>
      <c r="CB210" s="87"/>
      <c r="CC210" s="87">
        <f t="shared" si="535"/>
        <v>0</v>
      </c>
      <c r="CD210" s="77">
        <f t="shared" si="536"/>
        <v>5.6799999999999996E-2</v>
      </c>
      <c r="CE210" s="87">
        <f>IF(OR($A210&gt;'Debt Service'!CC$58,$A210&lt;CC$51), 0, SUM(CC210:CC$242)*CD210*CC$63/CC$64+SUM(CC211:CC$242)*(CC$64-CC$63)/CC$64*CD210)</f>
        <v>17608</v>
      </c>
      <c r="CF210" s="87"/>
      <c r="CG210" s="87">
        <f t="shared" si="537"/>
        <v>0</v>
      </c>
      <c r="CH210" s="77">
        <f t="shared" si="538"/>
        <v>5.6799999999999996E-2</v>
      </c>
      <c r="CI210" s="87">
        <f>IF(OR($A210&gt;'Debt Service'!CG$58,$A210&lt;CG$51), 0, SUM(CG210:CG$242)*CH210*CG$63/CG$64+SUM(CG211:CG$242)*(CG$64-CG$63)/CG$64*CH210)</f>
        <v>180453.59999999998</v>
      </c>
      <c r="CJ210" s="87"/>
      <c r="CK210" s="87">
        <f t="shared" si="539"/>
        <v>0</v>
      </c>
      <c r="CL210" s="77">
        <f t="shared" si="540"/>
        <v>6.0999999999999999E-2</v>
      </c>
      <c r="CM210" s="87">
        <f>IF(OR($A210&gt;'Debt Service'!CK$58,$A210&lt;CK$51), 0, SUM(CK210:CK$242)*CL210*CK$63/CK$64+SUM(CK211:CK$242)*(CK$64-CK$63)/CK$64*CL210)</f>
        <v>198067</v>
      </c>
      <c r="CN210" s="87"/>
      <c r="CO210" s="162">
        <f t="shared" si="541"/>
        <v>0</v>
      </c>
      <c r="CP210" s="87">
        <f t="shared" si="542"/>
        <v>396128.6</v>
      </c>
      <c r="CQ210" s="87"/>
      <c r="CR210" s="87">
        <f t="shared" si="543"/>
        <v>0</v>
      </c>
      <c r="CS210" s="77">
        <f t="shared" si="544"/>
        <v>6.0999999999999999E-2</v>
      </c>
      <c r="CT210" s="87">
        <f>IF(OR($A210&gt;'Debt Service'!CR$58,$A210&lt;CR$51), 0, SUM(CR210:CR$242)*CS210*CR$63/CR$64+SUM(CR211:CR$242)*(CR$64-CR$63)/CR$64*CS210)</f>
        <v>61488</v>
      </c>
      <c r="CU210" s="87"/>
      <c r="CV210" s="87">
        <f t="shared" si="545"/>
        <v>0</v>
      </c>
      <c r="CW210" s="77">
        <f t="shared" si="546"/>
        <v>6.0999999999999999E-2</v>
      </c>
      <c r="CX210" s="87">
        <f>IF(OR($A210&gt;'Debt Service'!CV$58,$A210&lt;CV$51), 0, SUM(CV210:CV$242)*CW210*CV$63/CV$64+SUM(CV211:CV$242)*(CV$64-CV$63)/CV$64*CW210)</f>
        <v>206119</v>
      </c>
      <c r="CY210" s="87"/>
      <c r="CZ210" s="165">
        <f t="shared" si="547"/>
        <v>0</v>
      </c>
      <c r="DA210" s="165">
        <f t="shared" si="548"/>
        <v>267607</v>
      </c>
      <c r="DB210" s="87"/>
      <c r="DC210" s="87">
        <f t="shared" si="549"/>
        <v>0</v>
      </c>
      <c r="DD210" s="77">
        <f t="shared" si="550"/>
        <v>6.0999999999999999E-2</v>
      </c>
      <c r="DE210" s="87">
        <f>IF(OR($A210&gt;DC$191, $A210&lt;DC$51), 0, SUM(DC210:DC$242)*DD210*DC$63/DC$64+SUM(DC211:DC$242)*(DC$64-DC$63)/DC$64*DD210)</f>
        <v>455304</v>
      </c>
      <c r="DF210" s="87"/>
      <c r="DG210" s="87">
        <f t="shared" si="551"/>
        <v>0</v>
      </c>
      <c r="DH210" s="77" t="str">
        <f t="shared" si="552"/>
        <v xml:space="preserve">   </v>
      </c>
      <c r="DI210" s="87">
        <f>IF(OR($A210&gt;DG$58, $A210&lt;DG$51), 0, SUM(DG210:DG$242)*DH210*DG$63/DG$64+SUM(DG211:DG$242)*(DG$64-DG$63)/DG$64*DH210)</f>
        <v>0</v>
      </c>
      <c r="DJ210" s="87"/>
      <c r="DK210" s="87">
        <f t="shared" si="553"/>
        <v>0</v>
      </c>
      <c r="DL210" s="77" t="str">
        <f t="shared" si="554"/>
        <v xml:space="preserve">   </v>
      </c>
      <c r="DM210" s="87">
        <f>IF(OR($A210&gt;DK$58, $A210&lt;DK$51), 0, SUM(DK210:DK$242)*DL210*DK$63/DK$64+SUM(DK211:DK$242)*(DK$64-DK$63)/DK$64*DL210)</f>
        <v>0</v>
      </c>
      <c r="DN210" s="87"/>
      <c r="DO210" s="87">
        <f t="shared" si="555"/>
        <v>0</v>
      </c>
      <c r="DP210" s="77" t="str">
        <f t="shared" si="556"/>
        <v xml:space="preserve">   </v>
      </c>
      <c r="DQ210" s="87">
        <f>IF(OR($A210&gt;DO$58, $A210&lt;DO$51), 0, SUM(DO210:DO$242)*DP210*DO$63/DO$64+SUM(DO211:DO$242)*(DO$64-DO$63)/DO$64*DP210)</f>
        <v>0</v>
      </c>
      <c r="DR210" s="87"/>
      <c r="DS210" s="87">
        <f t="shared" si="557"/>
        <v>0</v>
      </c>
      <c r="DT210" s="77" t="str">
        <f t="shared" si="558"/>
        <v xml:space="preserve">   </v>
      </c>
      <c r="DU210" s="87">
        <f>IF(OR($A210&gt;DS$58, $A210&lt;DS$51), 0, SUM(DS210:DS$242)*DT210*DS$63/DS$64+SUM(DS211:DS$242)*(DS$64-DS$63)/DS$64*DT210)</f>
        <v>0</v>
      </c>
      <c r="DV210" s="87"/>
      <c r="DW210" s="165">
        <f t="shared" ref="DW210:DW242" si="571">AV210+BK210+BV210+BY210+CO210+CZ210+DC210+DG210+DK210+DO210+DS210</f>
        <v>0</v>
      </c>
      <c r="DX210" s="165">
        <f t="shared" si="568"/>
        <v>2091926.6</v>
      </c>
      <c r="DY210" s="87"/>
      <c r="DZ210" s="53">
        <f t="shared" si="559"/>
        <v>2028</v>
      </c>
      <c r="EA210" s="35">
        <f t="shared" si="560"/>
        <v>21953500</v>
      </c>
      <c r="EB210" s="35">
        <f t="shared" si="561"/>
        <v>3801891.1500000004</v>
      </c>
      <c r="EC210" s="35">
        <f t="shared" si="570"/>
        <v>49396000</v>
      </c>
      <c r="ED210" s="143">
        <f t="shared" si="569"/>
        <v>5</v>
      </c>
      <c r="EE210"/>
    </row>
    <row r="211" spans="1:135" s="33" customFormat="1" outlineLevel="1">
      <c r="A211" s="7">
        <f t="shared" si="562"/>
        <v>2029</v>
      </c>
      <c r="B211" s="151">
        <f>Assumptions!B13</f>
        <v>5.3800000000000001E-2</v>
      </c>
      <c r="C211" s="151">
        <f>Assumptions!C13</f>
        <v>5.3800000000000001E-2</v>
      </c>
      <c r="D211" s="151">
        <f>Assumptions!D13</f>
        <v>3.5000000000000003E-2</v>
      </c>
      <c r="E211" s="151">
        <f>Assumptions!E13</f>
        <v>5.2999999999999999E-2</v>
      </c>
      <c r="F211" s="8"/>
      <c r="G211" s="8"/>
      <c r="H211" s="8"/>
      <c r="I211" s="8"/>
      <c r="J211" s="8"/>
      <c r="K211" s="8"/>
      <c r="L211" s="8"/>
      <c r="M211" s="87">
        <f t="shared" si="504"/>
        <v>0</v>
      </c>
      <c r="N211" s="77" t="str">
        <f t="shared" si="505"/>
        <v xml:space="preserve">   </v>
      </c>
      <c r="O211" s="87">
        <f>IF($A211&gt;'Debt Service'!M$58, 0, SUM(M211:M$242)*N211*M$63/M$64+SUM(M212:M$242)*(M$64-M$63)/M$64*N211)</f>
        <v>0</v>
      </c>
      <c r="P211" s="35"/>
      <c r="Q211" s="87">
        <f t="shared" si="506"/>
        <v>0</v>
      </c>
      <c r="R211" s="77" t="str">
        <f t="shared" si="507"/>
        <v xml:space="preserve">   </v>
      </c>
      <c r="S211" s="87">
        <f>IF($A211&gt;'Debt Service'!Q$58, 0, SUM(Q211:Q$242)*R211*Q$63/Q$64+SUM(Q212:Q$242)*(Q$64-Q$63)/Q$64*R211)</f>
        <v>0</v>
      </c>
      <c r="T211" s="35"/>
      <c r="U211" s="35">
        <f t="shared" si="508"/>
        <v>0</v>
      </c>
      <c r="V211" s="35">
        <f t="shared" si="509"/>
        <v>0</v>
      </c>
      <c r="W211" s="35"/>
      <c r="X211" s="87">
        <f t="shared" si="510"/>
        <v>0</v>
      </c>
      <c r="Y211" s="77" t="str">
        <f t="shared" si="511"/>
        <v xml:space="preserve">   </v>
      </c>
      <c r="Z211" s="87">
        <f>IF($A211&gt;'Debt Service'!X$58, 0, SUM(X211:X$242)*Y211*X$63/X$64+SUM(X212:X$242)*(X$64-X$63)/X$64*Y211)</f>
        <v>0</v>
      </c>
      <c r="AA211" s="87"/>
      <c r="AB211" s="87">
        <f t="shared" si="512"/>
        <v>0</v>
      </c>
      <c r="AC211" s="77">
        <f t="shared" si="513"/>
        <v>4.6700000000000005E-2</v>
      </c>
      <c r="AD211" s="87">
        <f>IF($A211&gt;'Debt Service'!AB$58, 0, SUM(AB211:AB$242)*AC211*AB$63/AB$64+SUM(AB212:AB$242)*(AB$64-AB$63)/AB$64*AC211)</f>
        <v>583750.00000000012</v>
      </c>
      <c r="AE211" s="35"/>
      <c r="AF211" s="87">
        <f t="shared" si="514"/>
        <v>0</v>
      </c>
      <c r="AG211" s="77">
        <f t="shared" si="515"/>
        <v>4.3000000000000003E-2</v>
      </c>
      <c r="AH211" s="87">
        <f>IF($A211&gt;'Debt Service'!AF$58, 0, SUM(AF211:AF$242)*AG211*AF$63/AF$64+SUM(AF212:AF$242)*(AF$64-AF$63)/AF$64*AG211)</f>
        <v>28208.000000000004</v>
      </c>
      <c r="AI211" s="35"/>
      <c r="AJ211" s="87">
        <f t="shared" si="516"/>
        <v>0</v>
      </c>
      <c r="AK211" s="77">
        <f t="shared" si="517"/>
        <v>4.3000000000000003E-2</v>
      </c>
      <c r="AL211" s="87">
        <f>IF($A211&gt;'Debt Service'!AJ$58, 0, SUM(AJ211:AJ$242)*AK211*AJ$63/AJ$64+SUM(AJ212:AJ$242)*(AJ$64-AJ$63)/AJ$64*AK211)</f>
        <v>135020</v>
      </c>
      <c r="AM211" s="35"/>
      <c r="AN211" s="87"/>
      <c r="AO211" s="77" t="str">
        <f t="shared" si="518"/>
        <v xml:space="preserve">   </v>
      </c>
      <c r="AP211" s="87">
        <f>IF($A211&gt;'Debt Service'!AN$58, 0, SUM(AN211:AN$242)*AO211*AN$63/AN$64+SUM(AN212:AN$242)*(AN$64-AN$63)/AN$64*AO211)</f>
        <v>0</v>
      </c>
      <c r="AQ211" s="35"/>
      <c r="AR211" s="87">
        <f t="shared" si="519"/>
        <v>0</v>
      </c>
      <c r="AS211" s="77">
        <f t="shared" si="520"/>
        <v>4.3000000000000003E-2</v>
      </c>
      <c r="AT211" s="87">
        <f>IF($A211&gt;'Debt Service'!AR$58, 0, SUM(AR211:AR$242)*AS211*AR$63/AR$64+SUM(AR212:AR$242)*(AR$64-AR$63)/AR$64*AS211)</f>
        <v>127796.00000000001</v>
      </c>
      <c r="AV211" s="35">
        <f t="shared" si="521"/>
        <v>0</v>
      </c>
      <c r="AW211" s="35">
        <f t="shared" si="522"/>
        <v>291024</v>
      </c>
      <c r="AX211" s="35"/>
      <c r="AY211" s="87">
        <f t="shared" si="523"/>
        <v>0</v>
      </c>
      <c r="AZ211" s="77">
        <f t="shared" si="524"/>
        <v>6.0999999999999999E-2</v>
      </c>
      <c r="BA211" s="87">
        <f>IF($A211&gt;'Debt Service'!AY$58, 0, SUM(AY211:AY$242)*AZ211*AY$63/AY$64+SUM(AY212:AY$242)*(AY$64-AY$63)/AY$64*AZ211)</f>
        <v>34221</v>
      </c>
      <c r="BB211" s="61"/>
      <c r="BC211" s="87">
        <f t="shared" si="525"/>
        <v>0</v>
      </c>
      <c r="BD211" s="77">
        <f t="shared" si="526"/>
        <v>6.0999999999999999E-2</v>
      </c>
      <c r="BE211" s="87">
        <f>IF($A211&gt;'Debt Service'!BC$58, 0, SUM(BC211:BC$242)*BD211*BC$63/BC$64+SUM(BC212:BC$242)*(BC$64-BC$63)/BC$64*BD211)</f>
        <v>97539</v>
      </c>
      <c r="BF211" s="61"/>
      <c r="BG211" s="87">
        <f t="shared" si="527"/>
        <v>0</v>
      </c>
      <c r="BH211" s="77">
        <f t="shared" si="528"/>
        <v>6.0999999999999999E-2</v>
      </c>
      <c r="BI211" s="87">
        <f>IF($A211&gt;'Debt Service'!BG$58, 0, SUM(BG211:BG$242)*BH211*BG$63/BG$64+SUM(BG212:BG$242)*(BG$64-BG$63)/BG$64*BH211)</f>
        <v>249063</v>
      </c>
      <c r="BJ211" s="61"/>
      <c r="BK211" s="35">
        <f t="shared" si="563"/>
        <v>0</v>
      </c>
      <c r="BL211" s="35">
        <f t="shared" si="564"/>
        <v>380823</v>
      </c>
      <c r="BM211" s="8"/>
      <c r="BN211" s="87">
        <f t="shared" si="529"/>
        <v>0</v>
      </c>
      <c r="BO211" s="77" t="str">
        <f t="shared" si="530"/>
        <v xml:space="preserve">   </v>
      </c>
      <c r="BP211" s="87">
        <f>IF($A211&gt;'Debt Service'!BN$58, 0, SUM(BN211:BN$242)*BO211*BN$63/BN$64+SUM(BN212:BN$242)*(BN$64-BN$63)/BN$64*BO211)</f>
        <v>0</v>
      </c>
      <c r="BQ211" s="77"/>
      <c r="BR211" s="87">
        <f t="shared" si="531"/>
        <v>0</v>
      </c>
      <c r="BS211" s="77">
        <f t="shared" si="532"/>
        <v>5.6799999999999996E-2</v>
      </c>
      <c r="BT211" s="87">
        <f>IF($A211&gt;'Debt Service'!BR$58, 0, SUM(BR211:BR$242)*BS211*BR$63/BR$64+SUM(BR212:BR$242)*(BR$64-BR$63)/BR$64*BS211)</f>
        <v>194710.39999999999</v>
      </c>
      <c r="BU211" s="87"/>
      <c r="BV211" s="35">
        <f t="shared" si="565"/>
        <v>0</v>
      </c>
      <c r="BW211" s="35">
        <f t="shared" si="566"/>
        <v>194710.39999999999</v>
      </c>
      <c r="BX211" s="87"/>
      <c r="BY211" s="87">
        <f t="shared" si="533"/>
        <v>1872000</v>
      </c>
      <c r="BZ211" s="77">
        <f t="shared" si="534"/>
        <v>5.6799999999999996E-2</v>
      </c>
      <c r="CA211" s="87">
        <f>IF($A211&gt;'Debt Service'!BY$58, 0, SUM(BY211:BY$242)*BZ211*BY$63/BY$64+SUM(BY212:BY$242)*(BY$64-BY$63)/BY$64*BZ211)</f>
        <v>106329.59999999999</v>
      </c>
      <c r="CB211" s="87"/>
      <c r="CC211" s="87">
        <f t="shared" si="535"/>
        <v>0</v>
      </c>
      <c r="CD211" s="77">
        <f t="shared" si="536"/>
        <v>5.6799999999999996E-2</v>
      </c>
      <c r="CE211" s="87">
        <f>IF(OR($A211&gt;'Debt Service'!CC$58,$A211&lt;CC$51), 0, SUM(CC211:CC$242)*CD211*CC$63/CC$64+SUM(CC212:CC$242)*(CC$64-CC$63)/CC$64*CD211)</f>
        <v>17608</v>
      </c>
      <c r="CF211" s="87"/>
      <c r="CG211" s="87">
        <f t="shared" si="537"/>
        <v>0</v>
      </c>
      <c r="CH211" s="77">
        <f t="shared" si="538"/>
        <v>5.6799999999999996E-2</v>
      </c>
      <c r="CI211" s="87">
        <f>IF(OR($A211&gt;'Debt Service'!CG$58,$A211&lt;CG$51), 0, SUM(CG211:CG$242)*CH211*CG$63/CG$64+SUM(CG212:CG$242)*(CG$64-CG$63)/CG$64*CH211)</f>
        <v>180453.59999999998</v>
      </c>
      <c r="CJ211" s="87"/>
      <c r="CK211" s="87">
        <f t="shared" si="539"/>
        <v>0</v>
      </c>
      <c r="CL211" s="77">
        <f t="shared" si="540"/>
        <v>6.0999999999999999E-2</v>
      </c>
      <c r="CM211" s="87">
        <f>IF(OR($A211&gt;'Debt Service'!CK$58,$A211&lt;CK$51), 0, SUM(CK211:CK$242)*CL211*CK$63/CK$64+SUM(CK212:CK$242)*(CK$64-CK$63)/CK$64*CL211)</f>
        <v>198067</v>
      </c>
      <c r="CN211" s="87"/>
      <c r="CO211" s="162">
        <f t="shared" si="541"/>
        <v>0</v>
      </c>
      <c r="CP211" s="87">
        <f t="shared" si="542"/>
        <v>396128.6</v>
      </c>
      <c r="CQ211" s="87"/>
      <c r="CR211" s="87">
        <f t="shared" si="543"/>
        <v>1008000</v>
      </c>
      <c r="CS211" s="77">
        <f t="shared" si="544"/>
        <v>6.0999999999999999E-2</v>
      </c>
      <c r="CT211" s="87">
        <f>IF(OR($A211&gt;'Debt Service'!CR$58,$A211&lt;CR$51), 0, SUM(CR211:CR$242)*CS211*CR$63/CR$64+SUM(CR212:CR$242)*(CR$64-CR$63)/CR$64*CS211)</f>
        <v>30744</v>
      </c>
      <c r="CU211" s="87"/>
      <c r="CV211" s="87">
        <f t="shared" si="545"/>
        <v>0</v>
      </c>
      <c r="CW211" s="77">
        <f t="shared" si="546"/>
        <v>6.0999999999999999E-2</v>
      </c>
      <c r="CX211" s="87">
        <f>IF(OR($A211&gt;'Debt Service'!CV$58,$A211&lt;CV$51), 0, SUM(CV211:CV$242)*CW211*CV$63/CV$64+SUM(CV212:CV$242)*(CV$64-CV$63)/CV$64*CW211)</f>
        <v>206119</v>
      </c>
      <c r="CY211" s="87"/>
      <c r="CZ211" s="165">
        <f t="shared" si="547"/>
        <v>1008000</v>
      </c>
      <c r="DA211" s="165">
        <f t="shared" si="548"/>
        <v>236863</v>
      </c>
      <c r="DB211" s="87"/>
      <c r="DC211" s="87">
        <f t="shared" si="549"/>
        <v>0</v>
      </c>
      <c r="DD211" s="77">
        <f t="shared" si="550"/>
        <v>6.0999999999999999E-2</v>
      </c>
      <c r="DE211" s="87">
        <f>IF(OR($A211&gt;DC$191, $A211&lt;DC$51), 0, SUM(DC211:DC$242)*DD211*DC$63/DC$64+SUM(DC212:DC$242)*(DC$64-DC$63)/DC$64*DD211)</f>
        <v>455304</v>
      </c>
      <c r="DF211" s="87"/>
      <c r="DG211" s="87">
        <f t="shared" si="551"/>
        <v>0</v>
      </c>
      <c r="DH211" s="77" t="str">
        <f t="shared" si="552"/>
        <v xml:space="preserve">   </v>
      </c>
      <c r="DI211" s="87">
        <f>IF(OR($A211&gt;DG$58, $A211&lt;DG$51), 0, SUM(DG211:DG$242)*DH211*DG$63/DG$64+SUM(DG212:DG$242)*(DG$64-DG$63)/DG$64*DH211)</f>
        <v>0</v>
      </c>
      <c r="DJ211" s="87"/>
      <c r="DK211" s="87">
        <f t="shared" si="553"/>
        <v>0</v>
      </c>
      <c r="DL211" s="77" t="str">
        <f t="shared" si="554"/>
        <v xml:space="preserve">   </v>
      </c>
      <c r="DM211" s="87">
        <f>IF(OR($A211&gt;DK$58, $A211&lt;DK$51), 0, SUM(DK211:DK$242)*DL211*DK$63/DK$64+SUM(DK212:DK$242)*(DK$64-DK$63)/DK$64*DL211)</f>
        <v>0</v>
      </c>
      <c r="DN211" s="87"/>
      <c r="DO211" s="87">
        <f t="shared" si="555"/>
        <v>0</v>
      </c>
      <c r="DP211" s="77" t="str">
        <f t="shared" si="556"/>
        <v xml:space="preserve">   </v>
      </c>
      <c r="DQ211" s="87">
        <f>IF(OR($A211&gt;DO$58, $A211&lt;DO$51), 0, SUM(DO211:DO$242)*DP211*DO$63/DO$64+SUM(DO212:DO$242)*(DO$64-DO$63)/DO$64*DP211)</f>
        <v>0</v>
      </c>
      <c r="DR211" s="87"/>
      <c r="DS211" s="87">
        <f t="shared" si="557"/>
        <v>0</v>
      </c>
      <c r="DT211" s="77" t="str">
        <f t="shared" si="558"/>
        <v xml:space="preserve">   </v>
      </c>
      <c r="DU211" s="87">
        <f>IF(OR($A211&gt;DS$58, $A211&lt;DS$51), 0, SUM(DS211:DS$242)*DT211*DS$63/DS$64+SUM(DS212:DS$242)*(DS$64-DS$63)/DS$64*DT211)</f>
        <v>0</v>
      </c>
      <c r="DV211" s="87"/>
      <c r="DW211" s="165">
        <f t="shared" si="571"/>
        <v>2880000</v>
      </c>
      <c r="DX211" s="165">
        <f t="shared" si="568"/>
        <v>2061182.6</v>
      </c>
      <c r="DY211" s="87"/>
      <c r="DZ211" s="53">
        <f t="shared" si="559"/>
        <v>2029</v>
      </c>
      <c r="EA211" s="35">
        <f t="shared" si="560"/>
        <v>2880000</v>
      </c>
      <c r="EB211" s="35">
        <f t="shared" si="561"/>
        <v>2644932.6</v>
      </c>
      <c r="EC211" s="35">
        <f t="shared" si="570"/>
        <v>46516000</v>
      </c>
      <c r="ED211" s="143">
        <f t="shared" si="569"/>
        <v>6</v>
      </c>
      <c r="EE211"/>
    </row>
    <row r="212" spans="1:135" s="33" customFormat="1" outlineLevel="1">
      <c r="A212" s="7">
        <f t="shared" si="562"/>
        <v>2030</v>
      </c>
      <c r="B212" s="151">
        <f>Assumptions!B14</f>
        <v>5.3800000000000001E-2</v>
      </c>
      <c r="C212" s="151">
        <f>Assumptions!C14</f>
        <v>5.3800000000000001E-2</v>
      </c>
      <c r="D212" s="151">
        <f>Assumptions!D14</f>
        <v>3.5000000000000003E-2</v>
      </c>
      <c r="E212" s="151">
        <f>Assumptions!E14</f>
        <v>5.2999999999999999E-2</v>
      </c>
      <c r="F212" s="8"/>
      <c r="G212" s="8"/>
      <c r="H212" s="8"/>
      <c r="I212" s="8"/>
      <c r="J212" s="8"/>
      <c r="K212" s="8"/>
      <c r="L212" s="8"/>
      <c r="M212" s="87">
        <f t="shared" si="504"/>
        <v>0</v>
      </c>
      <c r="N212" s="77" t="str">
        <f t="shared" si="505"/>
        <v xml:space="preserve">   </v>
      </c>
      <c r="O212" s="87">
        <f>IF($A212&gt;'Debt Service'!M$58, 0, SUM(M212:M$242)*N212*M$63/M$64+SUM(M213:M$242)*(M$64-M$63)/M$64*N212)</f>
        <v>0</v>
      </c>
      <c r="P212" s="35"/>
      <c r="Q212" s="87">
        <f t="shared" si="506"/>
        <v>0</v>
      </c>
      <c r="R212" s="77" t="str">
        <f t="shared" si="507"/>
        <v xml:space="preserve">   </v>
      </c>
      <c r="S212" s="87">
        <f>IF($A212&gt;'Debt Service'!Q$58, 0, SUM(Q212:Q$242)*R212*Q$63/Q$64+SUM(Q213:Q$242)*(Q$64-Q$63)/Q$64*R212)</f>
        <v>0</v>
      </c>
      <c r="T212" s="35"/>
      <c r="U212" s="35">
        <f t="shared" si="508"/>
        <v>0</v>
      </c>
      <c r="V212" s="35">
        <f t="shared" si="509"/>
        <v>0</v>
      </c>
      <c r="W212" s="35"/>
      <c r="X212" s="87">
        <f t="shared" si="510"/>
        <v>0</v>
      </c>
      <c r="Y212" s="77" t="str">
        <f t="shared" si="511"/>
        <v xml:space="preserve">   </v>
      </c>
      <c r="Z212" s="87">
        <f>IF($A212&gt;'Debt Service'!X$58, 0, SUM(X212:X$242)*Y212*X$63/X$64+SUM(X213:X$242)*(X$64-X$63)/X$64*Y212)</f>
        <v>0</v>
      </c>
      <c r="AA212" s="87"/>
      <c r="AB212" s="87">
        <f t="shared" si="512"/>
        <v>0</v>
      </c>
      <c r="AC212" s="77">
        <f t="shared" si="513"/>
        <v>4.6700000000000005E-2</v>
      </c>
      <c r="AD212" s="87">
        <f>IF($A212&gt;'Debt Service'!AB$58, 0, SUM(AB212:AB$242)*AC212*AB$63/AB$64+SUM(AB213:AB$242)*(AB$64-AB$63)/AB$64*AC212)</f>
        <v>583750.00000000012</v>
      </c>
      <c r="AE212" s="35"/>
      <c r="AF212" s="87">
        <f t="shared" si="514"/>
        <v>0</v>
      </c>
      <c r="AG212" s="77">
        <f t="shared" si="515"/>
        <v>4.3000000000000003E-2</v>
      </c>
      <c r="AH212" s="87">
        <f>IF($A212&gt;'Debt Service'!AF$58, 0, SUM(AF212:AF$242)*AG212*AF$63/AF$64+SUM(AF213:AF$242)*(AF$64-AF$63)/AF$64*AG212)</f>
        <v>28208.000000000004</v>
      </c>
      <c r="AI212" s="35"/>
      <c r="AJ212" s="87">
        <f t="shared" si="516"/>
        <v>0</v>
      </c>
      <c r="AK212" s="77">
        <f t="shared" si="517"/>
        <v>4.3000000000000003E-2</v>
      </c>
      <c r="AL212" s="87">
        <f>IF($A212&gt;'Debt Service'!AJ$58, 0, SUM(AJ212:AJ$242)*AK212*AJ$63/AJ$64+SUM(AJ213:AJ$242)*(AJ$64-AJ$63)/AJ$64*AK212)</f>
        <v>135020</v>
      </c>
      <c r="AM212" s="35"/>
      <c r="AN212" s="87"/>
      <c r="AO212" s="77" t="str">
        <f t="shared" si="518"/>
        <v xml:space="preserve">   </v>
      </c>
      <c r="AP212" s="87">
        <f>IF($A212&gt;'Debt Service'!AN$58, 0, SUM(AN212:AN$242)*AO212*AN$63/AN$64+SUM(AN213:AN$242)*(AN$64-AN$63)/AN$64*AO212)</f>
        <v>0</v>
      </c>
      <c r="AQ212" s="35"/>
      <c r="AR212" s="87">
        <f t="shared" si="519"/>
        <v>0</v>
      </c>
      <c r="AS212" s="77">
        <f t="shared" si="520"/>
        <v>4.3000000000000003E-2</v>
      </c>
      <c r="AT212" s="87">
        <f>IF($A212&gt;'Debt Service'!AR$58, 0, SUM(AR212:AR$242)*AS212*AR$63/AR$64+SUM(AR213:AR$242)*(AR$64-AR$63)/AR$64*AS212)</f>
        <v>127796.00000000001</v>
      </c>
      <c r="AV212" s="35">
        <f t="shared" si="521"/>
        <v>0</v>
      </c>
      <c r="AW212" s="35">
        <f t="shared" si="522"/>
        <v>291024</v>
      </c>
      <c r="AX212" s="35"/>
      <c r="AY212" s="87">
        <f t="shared" si="523"/>
        <v>0</v>
      </c>
      <c r="AZ212" s="77">
        <f t="shared" si="524"/>
        <v>6.0999999999999999E-2</v>
      </c>
      <c r="BA212" s="87">
        <f>IF($A212&gt;'Debt Service'!AY$58, 0, SUM(AY212:AY$242)*AZ212*AY$63/AY$64+SUM(AY213:AY$242)*(AY$64-AY$63)/AY$64*AZ212)</f>
        <v>34221</v>
      </c>
      <c r="BB212" s="61"/>
      <c r="BC212" s="87">
        <f t="shared" si="525"/>
        <v>0</v>
      </c>
      <c r="BD212" s="77">
        <f t="shared" si="526"/>
        <v>6.0999999999999999E-2</v>
      </c>
      <c r="BE212" s="87">
        <f>IF($A212&gt;'Debt Service'!BC$58, 0, SUM(BC212:BC$242)*BD212*BC$63/BC$64+SUM(BC213:BC$242)*(BC$64-BC$63)/BC$64*BD212)</f>
        <v>97539</v>
      </c>
      <c r="BF212" s="61"/>
      <c r="BG212" s="87">
        <f t="shared" si="527"/>
        <v>0</v>
      </c>
      <c r="BH212" s="77">
        <f t="shared" si="528"/>
        <v>6.0999999999999999E-2</v>
      </c>
      <c r="BI212" s="87">
        <f>IF($A212&gt;'Debt Service'!BG$58, 0, SUM(BG212:BG$242)*BH212*BG$63/BG$64+SUM(BG213:BG$242)*(BG$64-BG$63)/BG$64*BH212)</f>
        <v>249063</v>
      </c>
      <c r="BJ212" s="61"/>
      <c r="BK212" s="35">
        <f t="shared" si="563"/>
        <v>0</v>
      </c>
      <c r="BL212" s="35">
        <f t="shared" si="564"/>
        <v>380823</v>
      </c>
      <c r="BM212" s="8"/>
      <c r="BN212" s="87">
        <f t="shared" si="529"/>
        <v>0</v>
      </c>
      <c r="BO212" s="77" t="str">
        <f t="shared" si="530"/>
        <v xml:space="preserve">   </v>
      </c>
      <c r="BP212" s="87">
        <f>IF($A212&gt;'Debt Service'!BN$58, 0, SUM(BN212:BN$242)*BO212*BN$63/BN$64+SUM(BN213:BN$242)*(BN$64-BN$63)/BN$64*BO212)</f>
        <v>0</v>
      </c>
      <c r="BQ212" s="77"/>
      <c r="BR212" s="87">
        <f t="shared" si="531"/>
        <v>0</v>
      </c>
      <c r="BS212" s="77">
        <f t="shared" si="532"/>
        <v>5.6799999999999996E-2</v>
      </c>
      <c r="BT212" s="87">
        <f>IF($A212&gt;'Debt Service'!BR$58, 0, SUM(BR212:BR$242)*BS212*BR$63/BR$64+SUM(BR213:BR$242)*(BR$64-BR$63)/BR$64*BS212)</f>
        <v>194710.39999999999</v>
      </c>
      <c r="BU212" s="87"/>
      <c r="BV212" s="35">
        <f t="shared" si="565"/>
        <v>0</v>
      </c>
      <c r="BW212" s="35">
        <f t="shared" si="566"/>
        <v>194710.39999999999</v>
      </c>
      <c r="BX212" s="87"/>
      <c r="BY212" s="87">
        <f t="shared" si="533"/>
        <v>0</v>
      </c>
      <c r="BZ212" s="77" t="str">
        <f t="shared" si="534"/>
        <v xml:space="preserve">   </v>
      </c>
      <c r="CA212" s="87">
        <f>IF($A212&gt;'Debt Service'!BY$58, 0, SUM(BY212:BY$242)*BZ212*BY$63/BY$64+SUM(BY213:BY$242)*(BY$64-BY$63)/BY$64*BZ212)</f>
        <v>0</v>
      </c>
      <c r="CB212" s="87"/>
      <c r="CC212" s="87">
        <f t="shared" si="535"/>
        <v>310000</v>
      </c>
      <c r="CD212" s="77">
        <f t="shared" si="536"/>
        <v>5.6799999999999996E-2</v>
      </c>
      <c r="CE212" s="87">
        <f>IF(OR($A212&gt;'Debt Service'!CC$58,$A212&lt;CC$51), 0, SUM(CC212:CC$242)*CD212*CC$63/CC$64+SUM(CC213:CC$242)*(CC$64-CC$63)/CC$64*CD212)</f>
        <v>8804</v>
      </c>
      <c r="CF212" s="87"/>
      <c r="CG212" s="87">
        <f t="shared" si="537"/>
        <v>0</v>
      </c>
      <c r="CH212" s="77">
        <f t="shared" si="538"/>
        <v>5.6799999999999996E-2</v>
      </c>
      <c r="CI212" s="87">
        <f>IF(OR($A212&gt;'Debt Service'!CG$58,$A212&lt;CG$51), 0, SUM(CG212:CG$242)*CH212*CG$63/CG$64+SUM(CG213:CG$242)*(CG$64-CG$63)/CG$64*CH212)</f>
        <v>180453.59999999998</v>
      </c>
      <c r="CJ212" s="87"/>
      <c r="CK212" s="87">
        <f t="shared" si="539"/>
        <v>0</v>
      </c>
      <c r="CL212" s="77">
        <f t="shared" si="540"/>
        <v>6.0999999999999999E-2</v>
      </c>
      <c r="CM212" s="87">
        <f>IF(OR($A212&gt;'Debt Service'!CK$58,$A212&lt;CK$51), 0, SUM(CK212:CK$242)*CL212*CK$63/CK$64+SUM(CK213:CK$242)*(CK$64-CK$63)/CK$64*CL212)</f>
        <v>198067</v>
      </c>
      <c r="CN212" s="87"/>
      <c r="CO212" s="162">
        <f t="shared" si="541"/>
        <v>310000</v>
      </c>
      <c r="CP212" s="87">
        <f t="shared" si="542"/>
        <v>387324.6</v>
      </c>
      <c r="CQ212" s="87"/>
      <c r="CR212" s="87">
        <f t="shared" si="543"/>
        <v>0</v>
      </c>
      <c r="CS212" s="77" t="str">
        <f t="shared" si="544"/>
        <v xml:space="preserve">   </v>
      </c>
      <c r="CT212" s="87">
        <f>IF(OR($A212&gt;'Debt Service'!CR$58,$A212&lt;CR$51), 0, SUM(CR212:CR$242)*CS212*CR$63/CR$64+SUM(CR213:CR$242)*(CR$64-CR$63)/CR$64*CS212)</f>
        <v>0</v>
      </c>
      <c r="CU212" s="87"/>
      <c r="CV212" s="87">
        <f t="shared" si="545"/>
        <v>0</v>
      </c>
      <c r="CW212" s="77">
        <f t="shared" si="546"/>
        <v>6.0999999999999999E-2</v>
      </c>
      <c r="CX212" s="87">
        <f>IF(OR($A212&gt;'Debt Service'!CV$58,$A212&lt;CV$51), 0, SUM(CV212:CV$242)*CW212*CV$63/CV$64+SUM(CV213:CV$242)*(CV$64-CV$63)/CV$64*CW212)</f>
        <v>206119</v>
      </c>
      <c r="CY212" s="87"/>
      <c r="CZ212" s="165">
        <f t="shared" si="547"/>
        <v>0</v>
      </c>
      <c r="DA212" s="165">
        <f t="shared" si="548"/>
        <v>206119</v>
      </c>
      <c r="DB212" s="87"/>
      <c r="DC212" s="87">
        <f t="shared" si="549"/>
        <v>0</v>
      </c>
      <c r="DD212" s="77">
        <f t="shared" si="550"/>
        <v>6.0999999999999999E-2</v>
      </c>
      <c r="DE212" s="87">
        <f>IF(OR($A212&gt;DC$191, $A212&lt;DC$51), 0, SUM(DC212:DC$242)*DD212*DC$63/DC$64+SUM(DC213:DC$242)*(DC$64-DC$63)/DC$64*DD212)</f>
        <v>455304</v>
      </c>
      <c r="DF212" s="87"/>
      <c r="DG212" s="87">
        <f t="shared" si="551"/>
        <v>0</v>
      </c>
      <c r="DH212" s="77" t="str">
        <f t="shared" si="552"/>
        <v xml:space="preserve">   </v>
      </c>
      <c r="DI212" s="87">
        <f>IF(OR($A212&gt;DG$58, $A212&lt;DG$51), 0, SUM(DG212:DG$242)*DH212*DG$63/DG$64+SUM(DG213:DG$242)*(DG$64-DG$63)/DG$64*DH212)</f>
        <v>0</v>
      </c>
      <c r="DJ212" s="87"/>
      <c r="DK212" s="87">
        <f t="shared" si="553"/>
        <v>0</v>
      </c>
      <c r="DL212" s="77" t="str">
        <f t="shared" si="554"/>
        <v xml:space="preserve">   </v>
      </c>
      <c r="DM212" s="87">
        <f>IF(OR($A212&gt;DK$58, $A212&lt;DK$51), 0, SUM(DK212:DK$242)*DL212*DK$63/DK$64+SUM(DK213:DK$242)*(DK$64-DK$63)/DK$64*DL212)</f>
        <v>0</v>
      </c>
      <c r="DN212" s="87"/>
      <c r="DO212" s="87">
        <f t="shared" si="555"/>
        <v>0</v>
      </c>
      <c r="DP212" s="77" t="str">
        <f t="shared" si="556"/>
        <v xml:space="preserve">   </v>
      </c>
      <c r="DQ212" s="87">
        <f>IF(OR($A212&gt;DO$58, $A212&lt;DO$51), 0, SUM(DO212:DO$242)*DP212*DO$63/DO$64+SUM(DO213:DO$242)*(DO$64-DO$63)/DO$64*DP212)</f>
        <v>0</v>
      </c>
      <c r="DR212" s="87"/>
      <c r="DS212" s="87">
        <f t="shared" si="557"/>
        <v>0</v>
      </c>
      <c r="DT212" s="77" t="str">
        <f t="shared" si="558"/>
        <v xml:space="preserve">   </v>
      </c>
      <c r="DU212" s="87">
        <f>IF(OR($A212&gt;DS$58, $A212&lt;DS$51), 0, SUM(DS212:DS$242)*DT212*DS$63/DS$64+SUM(DS213:DS$242)*(DS$64-DS$63)/DS$64*DT212)</f>
        <v>0</v>
      </c>
      <c r="DV212" s="87"/>
      <c r="DW212" s="165">
        <f t="shared" si="571"/>
        <v>310000</v>
      </c>
      <c r="DX212" s="165">
        <f t="shared" si="568"/>
        <v>1915305</v>
      </c>
      <c r="DY212" s="87"/>
      <c r="DZ212" s="53">
        <f t="shared" si="559"/>
        <v>2030</v>
      </c>
      <c r="EA212" s="35">
        <f t="shared" si="560"/>
        <v>310000</v>
      </c>
      <c r="EB212" s="35">
        <f t="shared" si="561"/>
        <v>2499055</v>
      </c>
      <c r="EC212" s="35">
        <f t="shared" si="570"/>
        <v>46206000</v>
      </c>
      <c r="ED212" s="143">
        <f t="shared" si="569"/>
        <v>7</v>
      </c>
      <c r="EE212"/>
    </row>
    <row r="213" spans="1:135" s="33" customFormat="1" outlineLevel="1">
      <c r="A213" s="7">
        <f t="shared" si="562"/>
        <v>2031</v>
      </c>
      <c r="B213" s="151">
        <f>Assumptions!B15</f>
        <v>5.3800000000000001E-2</v>
      </c>
      <c r="C213" s="151">
        <f>Assumptions!C15</f>
        <v>5.3800000000000001E-2</v>
      </c>
      <c r="D213" s="151">
        <f>Assumptions!D15</f>
        <v>3.5000000000000003E-2</v>
      </c>
      <c r="E213" s="151">
        <f>Assumptions!E15</f>
        <v>5.2999999999999999E-2</v>
      </c>
      <c r="F213" s="8"/>
      <c r="G213" s="8"/>
      <c r="H213" s="8"/>
      <c r="I213" s="8"/>
      <c r="J213" s="8"/>
      <c r="K213" s="8"/>
      <c r="L213" s="8"/>
      <c r="M213" s="87">
        <f t="shared" si="504"/>
        <v>0</v>
      </c>
      <c r="N213" s="77" t="str">
        <f t="shared" si="505"/>
        <v xml:space="preserve">   </v>
      </c>
      <c r="O213" s="87">
        <f>IF($A213&gt;'Debt Service'!M$58, 0, SUM(M213:M$242)*N213*M$63/M$64+SUM(M214:M$242)*(M$64-M$63)/M$64*N213)</f>
        <v>0</v>
      </c>
      <c r="P213" s="35"/>
      <c r="Q213" s="87">
        <f t="shared" si="506"/>
        <v>0</v>
      </c>
      <c r="R213" s="77" t="str">
        <f t="shared" si="507"/>
        <v xml:space="preserve">   </v>
      </c>
      <c r="S213" s="87">
        <f>IF($A213&gt;'Debt Service'!Q$58, 0, SUM(Q213:Q$242)*R213*Q$63/Q$64+SUM(Q214:Q$242)*(Q$64-Q$63)/Q$64*R213)</f>
        <v>0</v>
      </c>
      <c r="T213" s="35"/>
      <c r="U213" s="35">
        <f t="shared" si="508"/>
        <v>0</v>
      </c>
      <c r="V213" s="35">
        <f t="shared" si="509"/>
        <v>0</v>
      </c>
      <c r="W213" s="35"/>
      <c r="X213" s="87">
        <f t="shared" si="510"/>
        <v>0</v>
      </c>
      <c r="Y213" s="77" t="str">
        <f t="shared" si="511"/>
        <v xml:space="preserve">   </v>
      </c>
      <c r="Z213" s="87">
        <f>IF($A213&gt;'Debt Service'!X$58, 0, SUM(X213:X$242)*Y213*X$63/X$64+SUM(X214:X$242)*(X$64-X$63)/X$64*Y213)</f>
        <v>0</v>
      </c>
      <c r="AA213" s="87"/>
      <c r="AB213" s="87">
        <f t="shared" si="512"/>
        <v>0</v>
      </c>
      <c r="AC213" s="77">
        <f t="shared" si="513"/>
        <v>4.6700000000000005E-2</v>
      </c>
      <c r="AD213" s="87">
        <f>IF($A213&gt;'Debt Service'!AB$58, 0, SUM(AB213:AB$242)*AC213*AB$63/AB$64+SUM(AB214:AB$242)*(AB$64-AB$63)/AB$64*AC213)</f>
        <v>583750.00000000012</v>
      </c>
      <c r="AE213" s="35"/>
      <c r="AF213" s="87">
        <f t="shared" si="514"/>
        <v>0</v>
      </c>
      <c r="AG213" s="77">
        <f t="shared" si="515"/>
        <v>4.3000000000000003E-2</v>
      </c>
      <c r="AH213" s="87">
        <f>IF($A213&gt;'Debt Service'!AF$58, 0, SUM(AF213:AF$242)*AG213*AF$63/AF$64+SUM(AF214:AF$242)*(AF$64-AF$63)/AF$64*AG213)</f>
        <v>28208.000000000004</v>
      </c>
      <c r="AI213" s="35"/>
      <c r="AJ213" s="87">
        <f t="shared" si="516"/>
        <v>0</v>
      </c>
      <c r="AK213" s="77">
        <f t="shared" si="517"/>
        <v>4.3000000000000003E-2</v>
      </c>
      <c r="AL213" s="87">
        <f>IF($A213&gt;'Debt Service'!AJ$58, 0, SUM(AJ213:AJ$242)*AK213*AJ$63/AJ$64+SUM(AJ214:AJ$242)*(AJ$64-AJ$63)/AJ$64*AK213)</f>
        <v>135020</v>
      </c>
      <c r="AM213" s="35"/>
      <c r="AN213" s="87"/>
      <c r="AO213" s="77" t="str">
        <f t="shared" si="518"/>
        <v xml:space="preserve">   </v>
      </c>
      <c r="AP213" s="87">
        <f>IF($A213&gt;'Debt Service'!AN$58, 0, SUM(AN213:AN$242)*AO213*AN$63/AN$64+SUM(AN214:AN$242)*(AN$64-AN$63)/AN$64*AO213)</f>
        <v>0</v>
      </c>
      <c r="AQ213" s="35"/>
      <c r="AR213" s="87">
        <f t="shared" si="519"/>
        <v>0</v>
      </c>
      <c r="AS213" s="77">
        <f t="shared" si="520"/>
        <v>4.3000000000000003E-2</v>
      </c>
      <c r="AT213" s="87">
        <f>IF($A213&gt;'Debt Service'!AR$58, 0, SUM(AR213:AR$242)*AS213*AR$63/AR$64+SUM(AR214:AR$242)*(AR$64-AR$63)/AR$64*AS213)</f>
        <v>127796.00000000001</v>
      </c>
      <c r="AV213" s="35">
        <f t="shared" si="521"/>
        <v>0</v>
      </c>
      <c r="AW213" s="35">
        <f t="shared" si="522"/>
        <v>291024</v>
      </c>
      <c r="AX213" s="35"/>
      <c r="AY213" s="87">
        <f t="shared" si="523"/>
        <v>0</v>
      </c>
      <c r="AZ213" s="77">
        <f t="shared" si="524"/>
        <v>6.0999999999999999E-2</v>
      </c>
      <c r="BA213" s="87">
        <f>IF($A213&gt;'Debt Service'!AY$58, 0, SUM(AY213:AY$242)*AZ213*AY$63/AY$64+SUM(AY214:AY$242)*(AY$64-AY$63)/AY$64*AZ213)</f>
        <v>34221</v>
      </c>
      <c r="BB213" s="61"/>
      <c r="BC213" s="87">
        <f t="shared" si="525"/>
        <v>0</v>
      </c>
      <c r="BD213" s="77">
        <f t="shared" si="526"/>
        <v>6.0999999999999999E-2</v>
      </c>
      <c r="BE213" s="87">
        <f>IF($A213&gt;'Debt Service'!BC$58, 0, SUM(BC213:BC$242)*BD213*BC$63/BC$64+SUM(BC214:BC$242)*(BC$64-BC$63)/BC$64*BD213)</f>
        <v>97539</v>
      </c>
      <c r="BF213" s="61"/>
      <c r="BG213" s="87">
        <f t="shared" si="527"/>
        <v>0</v>
      </c>
      <c r="BH213" s="77">
        <f t="shared" si="528"/>
        <v>6.0999999999999999E-2</v>
      </c>
      <c r="BI213" s="87">
        <f>IF($A213&gt;'Debt Service'!BG$58, 0, SUM(BG213:BG$242)*BH213*BG$63/BG$64+SUM(BG214:BG$242)*(BG$64-BG$63)/BG$64*BH213)</f>
        <v>249063</v>
      </c>
      <c r="BJ213" s="61"/>
      <c r="BK213" s="35">
        <f t="shared" si="563"/>
        <v>0</v>
      </c>
      <c r="BL213" s="35">
        <f t="shared" si="564"/>
        <v>380823</v>
      </c>
      <c r="BM213" s="8"/>
      <c r="BN213" s="87">
        <f t="shared" si="529"/>
        <v>0</v>
      </c>
      <c r="BO213" s="77" t="str">
        <f t="shared" si="530"/>
        <v xml:space="preserve">   </v>
      </c>
      <c r="BP213" s="87">
        <f>IF($A213&gt;'Debt Service'!BN$58, 0, SUM(BN213:BN$242)*BO213*BN$63/BN$64+SUM(BN214:BN$242)*(BN$64-BN$63)/BN$64*BO213)</f>
        <v>0</v>
      </c>
      <c r="BQ213" s="77"/>
      <c r="BR213" s="87">
        <f t="shared" si="531"/>
        <v>0</v>
      </c>
      <c r="BS213" s="77">
        <f t="shared" si="532"/>
        <v>5.6799999999999996E-2</v>
      </c>
      <c r="BT213" s="87">
        <f>IF($A213&gt;'Debt Service'!BR$58, 0, SUM(BR213:BR$242)*BS213*BR$63/BR$64+SUM(BR214:BR$242)*(BR$64-BR$63)/BR$64*BS213)</f>
        <v>194710.39999999999</v>
      </c>
      <c r="BU213" s="87"/>
      <c r="BV213" s="35">
        <f t="shared" si="565"/>
        <v>0</v>
      </c>
      <c r="BW213" s="35">
        <f t="shared" si="566"/>
        <v>194710.39999999999</v>
      </c>
      <c r="BX213" s="87"/>
      <c r="BY213" s="87">
        <f t="shared" si="533"/>
        <v>0</v>
      </c>
      <c r="BZ213" s="77" t="str">
        <f t="shared" si="534"/>
        <v xml:space="preserve">   </v>
      </c>
      <c r="CA213" s="87">
        <f>IF($A213&gt;'Debt Service'!BY$58, 0, SUM(BY213:BY$242)*BZ213*BY$63/BY$64+SUM(BY214:BY$242)*(BY$64-BY$63)/BY$64*BZ213)</f>
        <v>0</v>
      </c>
      <c r="CB213" s="87"/>
      <c r="CC213" s="87">
        <f t="shared" si="535"/>
        <v>0</v>
      </c>
      <c r="CD213" s="77" t="str">
        <f t="shared" si="536"/>
        <v xml:space="preserve">   </v>
      </c>
      <c r="CE213" s="87">
        <f>IF(OR($A213&gt;'Debt Service'!CC$58,$A213&lt;CC$51), 0, SUM(CC213:CC$242)*CD213*CC$63/CC$64+SUM(CC214:CC$242)*(CC$64-CC$63)/CC$64*CD213)</f>
        <v>0</v>
      </c>
      <c r="CF213" s="87"/>
      <c r="CG213" s="87">
        <f t="shared" si="537"/>
        <v>0</v>
      </c>
      <c r="CH213" s="77">
        <f t="shared" si="538"/>
        <v>5.6799999999999996E-2</v>
      </c>
      <c r="CI213" s="87">
        <f>IF(OR($A213&gt;'Debt Service'!CG$58,$A213&lt;CG$51), 0, SUM(CG213:CG$242)*CH213*CG$63/CG$64+SUM(CG214:CG$242)*(CG$64-CG$63)/CG$64*CH213)</f>
        <v>180453.59999999998</v>
      </c>
      <c r="CJ213" s="87"/>
      <c r="CK213" s="87">
        <f t="shared" si="539"/>
        <v>0</v>
      </c>
      <c r="CL213" s="77">
        <f t="shared" si="540"/>
        <v>6.0999999999999999E-2</v>
      </c>
      <c r="CM213" s="87">
        <f>IF(OR($A213&gt;'Debt Service'!CK$58,$A213&lt;CK$51), 0, SUM(CK213:CK$242)*CL213*CK$63/CK$64+SUM(CK214:CK$242)*(CK$64-CK$63)/CK$64*CL213)</f>
        <v>198067</v>
      </c>
      <c r="CN213" s="87"/>
      <c r="CO213" s="162">
        <f t="shared" si="541"/>
        <v>0</v>
      </c>
      <c r="CP213" s="87">
        <f t="shared" si="542"/>
        <v>378520.6</v>
      </c>
      <c r="CQ213" s="87"/>
      <c r="CR213" s="87">
        <f t="shared" si="543"/>
        <v>0</v>
      </c>
      <c r="CS213" s="77" t="str">
        <f t="shared" si="544"/>
        <v xml:space="preserve">   </v>
      </c>
      <c r="CT213" s="87">
        <f>IF(OR($A213&gt;'Debt Service'!CR$58,$A213&lt;CR$51), 0, SUM(CR213:CR$242)*CS213*CR$63/CR$64+SUM(CR214:CR$242)*(CR$64-CR$63)/CR$64*CS213)</f>
        <v>0</v>
      </c>
      <c r="CU213" s="87"/>
      <c r="CV213" s="87">
        <f t="shared" si="545"/>
        <v>0</v>
      </c>
      <c r="CW213" s="77">
        <f t="shared" si="546"/>
        <v>6.0999999999999999E-2</v>
      </c>
      <c r="CX213" s="87">
        <f>IF(OR($A213&gt;'Debt Service'!CV$58,$A213&lt;CV$51), 0, SUM(CV213:CV$242)*CW213*CV$63/CV$64+SUM(CV214:CV$242)*(CV$64-CV$63)/CV$64*CW213)</f>
        <v>206119</v>
      </c>
      <c r="CY213" s="87"/>
      <c r="CZ213" s="165">
        <f t="shared" si="547"/>
        <v>0</v>
      </c>
      <c r="DA213" s="165">
        <f t="shared" si="548"/>
        <v>206119</v>
      </c>
      <c r="DB213" s="87"/>
      <c r="DC213" s="87">
        <f t="shared" si="549"/>
        <v>0</v>
      </c>
      <c r="DD213" s="77">
        <f t="shared" si="550"/>
        <v>6.0999999999999999E-2</v>
      </c>
      <c r="DE213" s="87">
        <f>IF(OR($A213&gt;DC$191, $A213&lt;DC$51), 0, SUM(DC213:DC$242)*DD213*DC$63/DC$64+SUM(DC214:DC$242)*(DC$64-DC$63)/DC$64*DD213)</f>
        <v>455304</v>
      </c>
      <c r="DF213" s="87"/>
      <c r="DG213" s="87">
        <f t="shared" si="551"/>
        <v>0</v>
      </c>
      <c r="DH213" s="77" t="str">
        <f t="shared" si="552"/>
        <v xml:space="preserve">   </v>
      </c>
      <c r="DI213" s="87">
        <f>IF(OR($A213&gt;DG$58, $A213&lt;DG$51), 0, SUM(DG213:DG$242)*DH213*DG$63/DG$64+SUM(DG214:DG$242)*(DG$64-DG$63)/DG$64*DH213)</f>
        <v>0</v>
      </c>
      <c r="DJ213" s="87"/>
      <c r="DK213" s="87">
        <f t="shared" si="553"/>
        <v>0</v>
      </c>
      <c r="DL213" s="77" t="str">
        <f t="shared" si="554"/>
        <v xml:space="preserve">   </v>
      </c>
      <c r="DM213" s="87">
        <f>IF(OR($A213&gt;DK$58, $A213&lt;DK$51), 0, SUM(DK213:DK$242)*DL213*DK$63/DK$64+SUM(DK214:DK$242)*(DK$64-DK$63)/DK$64*DL213)</f>
        <v>0</v>
      </c>
      <c r="DN213" s="87"/>
      <c r="DO213" s="87">
        <f t="shared" si="555"/>
        <v>0</v>
      </c>
      <c r="DP213" s="77" t="str">
        <f t="shared" si="556"/>
        <v xml:space="preserve">   </v>
      </c>
      <c r="DQ213" s="87">
        <f>IF(OR($A213&gt;DO$58, $A213&lt;DO$51), 0, SUM(DO213:DO$242)*DP213*DO$63/DO$64+SUM(DO214:DO$242)*(DO$64-DO$63)/DO$64*DP213)</f>
        <v>0</v>
      </c>
      <c r="DR213" s="87"/>
      <c r="DS213" s="87">
        <f t="shared" si="557"/>
        <v>0</v>
      </c>
      <c r="DT213" s="77" t="str">
        <f t="shared" si="558"/>
        <v xml:space="preserve">   </v>
      </c>
      <c r="DU213" s="87">
        <f>IF(OR($A213&gt;DS$58, $A213&lt;DS$51), 0, SUM(DS213:DS$242)*DT213*DS$63/DS$64+SUM(DS214:DS$242)*(DS$64-DS$63)/DS$64*DT213)</f>
        <v>0</v>
      </c>
      <c r="DV213" s="87"/>
      <c r="DW213" s="165">
        <f t="shared" si="571"/>
        <v>0</v>
      </c>
      <c r="DX213" s="165">
        <f t="shared" si="568"/>
        <v>1906501</v>
      </c>
      <c r="DY213" s="87"/>
      <c r="DZ213" s="53">
        <f t="shared" si="559"/>
        <v>2031</v>
      </c>
      <c r="EA213" s="35">
        <f t="shared" si="560"/>
        <v>0</v>
      </c>
      <c r="EB213" s="35">
        <f t="shared" si="561"/>
        <v>2490251</v>
      </c>
      <c r="EC213" s="35">
        <f t="shared" si="570"/>
        <v>46206000</v>
      </c>
      <c r="ED213" s="143">
        <f t="shared" si="569"/>
        <v>8</v>
      </c>
      <c r="EE213"/>
    </row>
    <row r="214" spans="1:135" s="33" customFormat="1" outlineLevel="1">
      <c r="A214" s="7">
        <f t="shared" si="562"/>
        <v>2032</v>
      </c>
      <c r="B214" s="151">
        <f>Assumptions!B16</f>
        <v>5.3800000000000001E-2</v>
      </c>
      <c r="C214" s="151">
        <f>Assumptions!C16</f>
        <v>5.3800000000000001E-2</v>
      </c>
      <c r="D214" s="151">
        <f>Assumptions!D16</f>
        <v>3.5000000000000003E-2</v>
      </c>
      <c r="E214" s="151">
        <f>Assumptions!E16</f>
        <v>5.2999999999999999E-2</v>
      </c>
      <c r="F214" s="8"/>
      <c r="G214" s="8"/>
      <c r="H214" s="8"/>
      <c r="I214" s="8"/>
      <c r="J214" s="8"/>
      <c r="K214" s="8"/>
      <c r="L214" s="86"/>
      <c r="M214" s="87">
        <f t="shared" si="504"/>
        <v>0</v>
      </c>
      <c r="N214" s="77" t="str">
        <f t="shared" si="505"/>
        <v xml:space="preserve">   </v>
      </c>
      <c r="O214" s="87">
        <f>IF($A214&gt;'Debt Service'!M$58, 0, SUM(M214:M$242)*N214*M$63/M$64+SUM(M215:M$242)*(M$64-M$63)/M$64*N214)</f>
        <v>0</v>
      </c>
      <c r="P214" s="35"/>
      <c r="Q214" s="87">
        <f t="shared" si="506"/>
        <v>0</v>
      </c>
      <c r="R214" s="77" t="str">
        <f t="shared" si="507"/>
        <v xml:space="preserve">   </v>
      </c>
      <c r="S214" s="87">
        <f>IF($A214&gt;'Debt Service'!Q$58, 0, SUM(Q214:Q$242)*R214*Q$63/Q$64+SUM(Q215:Q$242)*(Q$64-Q$63)/Q$64*R214)</f>
        <v>0</v>
      </c>
      <c r="T214" s="35"/>
      <c r="U214" s="35">
        <f t="shared" si="508"/>
        <v>0</v>
      </c>
      <c r="V214" s="35">
        <f t="shared" si="509"/>
        <v>0</v>
      </c>
      <c r="W214" s="87"/>
      <c r="X214" s="87">
        <f t="shared" si="510"/>
        <v>0</v>
      </c>
      <c r="Y214" s="77" t="str">
        <f t="shared" si="511"/>
        <v xml:space="preserve">   </v>
      </c>
      <c r="Z214" s="87">
        <f>IF($A214&gt;'Debt Service'!X$58, 0, SUM(X214:X$242)*Y214*X$63/X$64+SUM(X215:X$242)*(X$64-X$63)/X$64*Y214)</f>
        <v>0</v>
      </c>
      <c r="AA214" s="87"/>
      <c r="AB214" s="87">
        <f t="shared" si="512"/>
        <v>12500000</v>
      </c>
      <c r="AC214" s="77">
        <f t="shared" si="513"/>
        <v>4.6700000000000005E-2</v>
      </c>
      <c r="AD214" s="87">
        <f>IF($A214&gt;'Debt Service'!AB$58, 0, SUM(AB214:AB$242)*AC214*AB$63/AB$64+SUM(AB215:AB$242)*(AB$64-AB$63)/AB$64*AC214)</f>
        <v>583750.00000000012</v>
      </c>
      <c r="AE214" s="87"/>
      <c r="AF214" s="87">
        <f t="shared" si="514"/>
        <v>0</v>
      </c>
      <c r="AG214" s="77">
        <f t="shared" si="515"/>
        <v>4.3000000000000003E-2</v>
      </c>
      <c r="AH214" s="87">
        <f>IF($A214&gt;'Debt Service'!AF$58, 0, SUM(AF214:AF$242)*AG214*AF$63/AF$64+SUM(AF215:AF$242)*(AF$64-AF$63)/AF$64*AG214)</f>
        <v>28208.000000000004</v>
      </c>
      <c r="AI214" s="35"/>
      <c r="AJ214" s="87">
        <f t="shared" si="516"/>
        <v>0</v>
      </c>
      <c r="AK214" s="77">
        <f t="shared" si="517"/>
        <v>4.3000000000000003E-2</v>
      </c>
      <c r="AL214" s="87">
        <f>IF($A214&gt;'Debt Service'!AJ$58, 0, SUM(AJ214:AJ$242)*AK214*AJ$63/AJ$64+SUM(AJ215:AJ$242)*(AJ$64-AJ$63)/AJ$64*AK214)</f>
        <v>135020</v>
      </c>
      <c r="AM214" s="35"/>
      <c r="AN214" s="87"/>
      <c r="AO214" s="77" t="str">
        <f t="shared" si="518"/>
        <v xml:space="preserve">   </v>
      </c>
      <c r="AP214" s="87">
        <f>IF($A214&gt;'Debt Service'!AN$58, 0, SUM(AN214:AN$242)*AO214*AN$63/AN$64+SUM(AN215:AN$242)*(AN$64-AN$63)/AN$64*AO214)</f>
        <v>0</v>
      </c>
      <c r="AQ214" s="87"/>
      <c r="AR214" s="87">
        <f t="shared" si="519"/>
        <v>0</v>
      </c>
      <c r="AS214" s="77">
        <f t="shared" si="520"/>
        <v>4.3000000000000003E-2</v>
      </c>
      <c r="AT214" s="87">
        <f>IF($A214&gt;'Debt Service'!AR$58, 0, SUM(AR214:AR$242)*AS214*AR$63/AR$64+SUM(AR215:AR$242)*(AR$64-AR$63)/AR$64*AS214)</f>
        <v>127796.00000000001</v>
      </c>
      <c r="AV214" s="35">
        <f t="shared" si="521"/>
        <v>0</v>
      </c>
      <c r="AW214" s="35">
        <f t="shared" si="522"/>
        <v>291024</v>
      </c>
      <c r="AX214" s="87"/>
      <c r="AY214" s="87">
        <f t="shared" si="523"/>
        <v>0</v>
      </c>
      <c r="AZ214" s="77">
        <f t="shared" si="524"/>
        <v>6.0999999999999999E-2</v>
      </c>
      <c r="BA214" s="87">
        <f>IF($A214&gt;'Debt Service'!AY$58, 0, SUM(AY214:AY$242)*AZ214*AY$63/AY$64+SUM(AY215:AY$242)*(AY$64-AY$63)/AY$64*AZ214)</f>
        <v>34221</v>
      </c>
      <c r="BB214" s="61"/>
      <c r="BC214" s="87">
        <f t="shared" si="525"/>
        <v>0</v>
      </c>
      <c r="BD214" s="77">
        <f t="shared" si="526"/>
        <v>6.0999999999999999E-2</v>
      </c>
      <c r="BE214" s="87">
        <f>IF($A214&gt;'Debt Service'!BC$58, 0, SUM(BC214:BC$242)*BD214*BC$63/BC$64+SUM(BC215:BC$242)*(BC$64-BC$63)/BC$64*BD214)</f>
        <v>97539</v>
      </c>
      <c r="BF214" s="61"/>
      <c r="BG214" s="87">
        <f t="shared" si="527"/>
        <v>0</v>
      </c>
      <c r="BH214" s="77">
        <f t="shared" si="528"/>
        <v>6.0999999999999999E-2</v>
      </c>
      <c r="BI214" s="87">
        <f>IF($A214&gt;'Debt Service'!BG$58, 0, SUM(BG214:BG$242)*BH214*BG$63/BG$64+SUM(BG215:BG$242)*(BG$64-BG$63)/BG$64*BH214)</f>
        <v>249063</v>
      </c>
      <c r="BJ214" s="61"/>
      <c r="BK214" s="35">
        <f t="shared" si="563"/>
        <v>0</v>
      </c>
      <c r="BL214" s="35">
        <f t="shared" si="564"/>
        <v>380823</v>
      </c>
      <c r="BM214" s="86"/>
      <c r="BN214" s="87">
        <f t="shared" si="529"/>
        <v>0</v>
      </c>
      <c r="BO214" s="77" t="str">
        <f t="shared" si="530"/>
        <v xml:space="preserve">   </v>
      </c>
      <c r="BP214" s="87">
        <f>IF($A214&gt;'Debt Service'!BN$58, 0, SUM(BN214:BN$242)*BO214*BN$63/BN$64+SUM(BN215:BN$242)*(BN$64-BN$63)/BN$64*BO214)</f>
        <v>0</v>
      </c>
      <c r="BQ214" s="77"/>
      <c r="BR214" s="87">
        <f t="shared" si="531"/>
        <v>0</v>
      </c>
      <c r="BS214" s="77">
        <f t="shared" si="532"/>
        <v>5.6799999999999996E-2</v>
      </c>
      <c r="BT214" s="87">
        <f>IF($A214&gt;'Debt Service'!BR$58, 0, SUM(BR214:BR$242)*BS214*BR$63/BR$64+SUM(BR215:BR$242)*(BR$64-BR$63)/BR$64*BS214)</f>
        <v>194710.39999999999</v>
      </c>
      <c r="BU214" s="87"/>
      <c r="BV214" s="35">
        <f t="shared" si="565"/>
        <v>0</v>
      </c>
      <c r="BW214" s="35">
        <f t="shared" si="566"/>
        <v>194710.39999999999</v>
      </c>
      <c r="BX214" s="87"/>
      <c r="BY214" s="87">
        <f t="shared" si="533"/>
        <v>0</v>
      </c>
      <c r="BZ214" s="77" t="str">
        <f t="shared" si="534"/>
        <v xml:space="preserve">   </v>
      </c>
      <c r="CA214" s="87">
        <f>IF($A214&gt;'Debt Service'!BY$58, 0, SUM(BY214:BY$242)*BZ214*BY$63/BY$64+SUM(BY215:BY$242)*(BY$64-BY$63)/BY$64*BZ214)</f>
        <v>0</v>
      </c>
      <c r="CB214" s="87"/>
      <c r="CC214" s="87">
        <f t="shared" si="535"/>
        <v>0</v>
      </c>
      <c r="CD214" s="77" t="str">
        <f t="shared" si="536"/>
        <v xml:space="preserve">   </v>
      </c>
      <c r="CE214" s="87">
        <f>IF(OR($A214&gt;'Debt Service'!CC$58,$A214&lt;CC$51), 0, SUM(CC214:CC$242)*CD214*CC$63/CC$64+SUM(CC215:CC$242)*(CC$64-CC$63)/CC$64*CD214)</f>
        <v>0</v>
      </c>
      <c r="CF214" s="87"/>
      <c r="CG214" s="87">
        <f t="shared" si="537"/>
        <v>0</v>
      </c>
      <c r="CH214" s="77">
        <f t="shared" si="538"/>
        <v>5.6799999999999996E-2</v>
      </c>
      <c r="CI214" s="87">
        <f>IF(OR($A214&gt;'Debt Service'!CG$58,$A214&lt;CG$51), 0, SUM(CG214:CG$242)*CH214*CG$63/CG$64+SUM(CG215:CG$242)*(CG$64-CG$63)/CG$64*CH214)</f>
        <v>180453.59999999998</v>
      </c>
      <c r="CJ214" s="87"/>
      <c r="CK214" s="87">
        <f t="shared" si="539"/>
        <v>0</v>
      </c>
      <c r="CL214" s="77">
        <f t="shared" si="540"/>
        <v>6.0999999999999999E-2</v>
      </c>
      <c r="CM214" s="87">
        <f>IF(OR($A214&gt;'Debt Service'!CK$58,$A214&lt;CK$51), 0, SUM(CK214:CK$242)*CL214*CK$63/CK$64+SUM(CK215:CK$242)*(CK$64-CK$63)/CK$64*CL214)</f>
        <v>198067</v>
      </c>
      <c r="CN214" s="87"/>
      <c r="CO214" s="162">
        <f t="shared" si="541"/>
        <v>0</v>
      </c>
      <c r="CP214" s="87">
        <f t="shared" si="542"/>
        <v>378520.6</v>
      </c>
      <c r="CQ214" s="87"/>
      <c r="CR214" s="87">
        <f t="shared" si="543"/>
        <v>0</v>
      </c>
      <c r="CS214" s="77" t="str">
        <f t="shared" si="544"/>
        <v xml:space="preserve">   </v>
      </c>
      <c r="CT214" s="87">
        <f>IF(OR($A214&gt;'Debt Service'!CR$58,$A214&lt;CR$51), 0, SUM(CR214:CR$242)*CS214*CR$63/CR$64+SUM(CR215:CR$242)*(CR$64-CR$63)/CR$64*CS214)</f>
        <v>0</v>
      </c>
      <c r="CU214" s="87"/>
      <c r="CV214" s="87">
        <f t="shared" si="545"/>
        <v>0</v>
      </c>
      <c r="CW214" s="77">
        <f t="shared" si="546"/>
        <v>6.0999999999999999E-2</v>
      </c>
      <c r="CX214" s="87">
        <f>IF(OR($A214&gt;'Debt Service'!CV$58,$A214&lt;CV$51), 0, SUM(CV214:CV$242)*CW214*CV$63/CV$64+SUM(CV215:CV$242)*(CV$64-CV$63)/CV$64*CW214)</f>
        <v>206119</v>
      </c>
      <c r="CY214" s="87"/>
      <c r="CZ214" s="165">
        <f t="shared" si="547"/>
        <v>0</v>
      </c>
      <c r="DA214" s="165">
        <f t="shared" si="548"/>
        <v>206119</v>
      </c>
      <c r="DB214" s="87"/>
      <c r="DC214" s="87">
        <f t="shared" si="549"/>
        <v>0</v>
      </c>
      <c r="DD214" s="77">
        <f t="shared" si="550"/>
        <v>6.0999999999999999E-2</v>
      </c>
      <c r="DE214" s="87">
        <f>IF(OR($A214&gt;DC$191, $A214&lt;DC$51), 0, SUM(DC214:DC$242)*DD214*DC$63/DC$64+SUM(DC215:DC$242)*(DC$64-DC$63)/DC$64*DD214)</f>
        <v>455304</v>
      </c>
      <c r="DF214" s="87"/>
      <c r="DG214" s="87">
        <f t="shared" si="551"/>
        <v>0</v>
      </c>
      <c r="DH214" s="77" t="str">
        <f t="shared" si="552"/>
        <v xml:space="preserve">   </v>
      </c>
      <c r="DI214" s="87">
        <f>IF(OR($A214&gt;DG$58, $A214&lt;DG$51), 0, SUM(DG214:DG$242)*DH214*DG$63/DG$64+SUM(DG215:DG$242)*(DG$64-DG$63)/DG$64*DH214)</f>
        <v>0</v>
      </c>
      <c r="DJ214" s="87"/>
      <c r="DK214" s="87">
        <f t="shared" si="553"/>
        <v>0</v>
      </c>
      <c r="DL214" s="77" t="str">
        <f t="shared" si="554"/>
        <v xml:space="preserve">   </v>
      </c>
      <c r="DM214" s="87">
        <f>IF(OR($A214&gt;DK$58, $A214&lt;DK$51), 0, SUM(DK214:DK$242)*DL214*DK$63/DK$64+SUM(DK215:DK$242)*(DK$64-DK$63)/DK$64*DL214)</f>
        <v>0</v>
      </c>
      <c r="DN214" s="87"/>
      <c r="DO214" s="87">
        <f t="shared" si="555"/>
        <v>0</v>
      </c>
      <c r="DP214" s="77" t="str">
        <f t="shared" si="556"/>
        <v xml:space="preserve">   </v>
      </c>
      <c r="DQ214" s="87">
        <f>IF(OR($A214&gt;DO$58, $A214&lt;DO$51), 0, SUM(DO214:DO$242)*DP214*DO$63/DO$64+SUM(DO215:DO$242)*(DO$64-DO$63)/DO$64*DP214)</f>
        <v>0</v>
      </c>
      <c r="DR214" s="87"/>
      <c r="DS214" s="87">
        <f t="shared" si="557"/>
        <v>0</v>
      </c>
      <c r="DT214" s="77" t="str">
        <f t="shared" si="558"/>
        <v xml:space="preserve">   </v>
      </c>
      <c r="DU214" s="87">
        <f>IF(OR($A214&gt;DS$58, $A214&lt;DS$51), 0, SUM(DS214:DS$242)*DT214*DS$63/DS$64+SUM(DS215:DS$242)*(DS$64-DS$63)/DS$64*DT214)</f>
        <v>0</v>
      </c>
      <c r="DV214" s="87"/>
      <c r="DW214" s="165">
        <f t="shared" si="571"/>
        <v>0</v>
      </c>
      <c r="DX214" s="165">
        <f t="shared" si="568"/>
        <v>1906501</v>
      </c>
      <c r="DY214" s="87"/>
      <c r="DZ214" s="53">
        <f t="shared" si="559"/>
        <v>2032</v>
      </c>
      <c r="EA214" s="35">
        <f t="shared" si="560"/>
        <v>12500000</v>
      </c>
      <c r="EB214" s="35">
        <f t="shared" si="561"/>
        <v>2490251</v>
      </c>
      <c r="EC214" s="35">
        <f t="shared" si="570"/>
        <v>33706000</v>
      </c>
      <c r="ED214" s="143">
        <f t="shared" si="569"/>
        <v>9</v>
      </c>
      <c r="EE214"/>
    </row>
    <row r="215" spans="1:135" s="33" customFormat="1" outlineLevel="1">
      <c r="A215" s="7">
        <f t="shared" si="562"/>
        <v>2033</v>
      </c>
      <c r="B215" s="151">
        <f>Assumptions!B17</f>
        <v>5.3800000000000001E-2</v>
      </c>
      <c r="C215" s="151">
        <f>Assumptions!C17</f>
        <v>5.3800000000000001E-2</v>
      </c>
      <c r="D215" s="151">
        <f>Assumptions!D17</f>
        <v>3.5000000000000003E-2</v>
      </c>
      <c r="E215" s="151">
        <f>Assumptions!E17</f>
        <v>5.2999999999999999E-2</v>
      </c>
      <c r="F215" s="8"/>
      <c r="G215" s="8"/>
      <c r="H215" s="8"/>
      <c r="I215" s="8"/>
      <c r="J215" s="8"/>
      <c r="K215" s="8"/>
      <c r="L215" s="86"/>
      <c r="M215" s="87">
        <f t="shared" si="504"/>
        <v>0</v>
      </c>
      <c r="N215" s="77" t="str">
        <f t="shared" si="505"/>
        <v xml:space="preserve">   </v>
      </c>
      <c r="O215" s="87">
        <f>IF($A215&gt;'Debt Service'!M$58, 0, SUM(M215:M$242)*N215*M$63/M$64+SUM(M216:M$242)*(M$64-M$63)/M$64*N215)</f>
        <v>0</v>
      </c>
      <c r="P215" s="35"/>
      <c r="Q215" s="87">
        <f t="shared" si="506"/>
        <v>0</v>
      </c>
      <c r="R215" s="77" t="str">
        <f t="shared" si="507"/>
        <v xml:space="preserve">   </v>
      </c>
      <c r="S215" s="87">
        <f>IF($A215&gt;'Debt Service'!Q$58, 0, SUM(Q215:Q$242)*R215*Q$63/Q$64+SUM(Q216:Q$242)*(Q$64-Q$63)/Q$64*R215)</f>
        <v>0</v>
      </c>
      <c r="T215" s="35"/>
      <c r="U215" s="35">
        <f t="shared" si="508"/>
        <v>0</v>
      </c>
      <c r="V215" s="35">
        <f t="shared" si="509"/>
        <v>0</v>
      </c>
      <c r="W215" s="87"/>
      <c r="X215" s="87">
        <f t="shared" si="510"/>
        <v>0</v>
      </c>
      <c r="Y215" s="77" t="str">
        <f t="shared" si="511"/>
        <v xml:space="preserve">   </v>
      </c>
      <c r="Z215" s="87">
        <f>IF($A215&gt;'Debt Service'!X$58, 0, SUM(X215:X$242)*Y215*X$63/X$64+SUM(X216:X$242)*(X$64-X$63)/X$64*Y215)</f>
        <v>0</v>
      </c>
      <c r="AA215" s="87"/>
      <c r="AB215" s="87">
        <f t="shared" si="512"/>
        <v>0</v>
      </c>
      <c r="AC215" s="77" t="str">
        <f t="shared" si="513"/>
        <v xml:space="preserve">   </v>
      </c>
      <c r="AD215" s="87">
        <f>IF($A215&gt;'Debt Service'!AB$58, 0, SUM(AB215:AB$242)*AC215*AB$63/AB$64+SUM(AB216:AB$242)*(AB$64-AB$63)/AB$64*AC215)</f>
        <v>0</v>
      </c>
      <c r="AE215" s="87"/>
      <c r="AF215" s="87">
        <f t="shared" si="514"/>
        <v>0</v>
      </c>
      <c r="AG215" s="77">
        <f t="shared" si="515"/>
        <v>4.3000000000000003E-2</v>
      </c>
      <c r="AH215" s="87">
        <f>IF($A215&gt;'Debt Service'!AF$58, 0, SUM(AF215:AF$242)*AG215*AF$63/AF$64+SUM(AF216:AF$242)*(AF$64-AF$63)/AF$64*AG215)</f>
        <v>28208.000000000004</v>
      </c>
      <c r="AI215" s="35"/>
      <c r="AJ215" s="87">
        <f t="shared" si="516"/>
        <v>0</v>
      </c>
      <c r="AK215" s="77">
        <f t="shared" si="517"/>
        <v>4.3000000000000003E-2</v>
      </c>
      <c r="AL215" s="87">
        <f>IF($A215&gt;'Debt Service'!AJ$58, 0, SUM(AJ215:AJ$242)*AK215*AJ$63/AJ$64+SUM(AJ216:AJ$242)*(AJ$64-AJ$63)/AJ$64*AK215)</f>
        <v>135020</v>
      </c>
      <c r="AM215" s="35"/>
      <c r="AN215" s="87"/>
      <c r="AO215" s="77" t="str">
        <f t="shared" si="518"/>
        <v xml:space="preserve">   </v>
      </c>
      <c r="AP215" s="87">
        <f>IF($A215&gt;'Debt Service'!AN$58, 0, SUM(AN215:AN$242)*AO215*AN$63/AN$64+SUM(AN216:AN$242)*(AN$64-AN$63)/AN$64*AO215)</f>
        <v>0</v>
      </c>
      <c r="AQ215" s="87"/>
      <c r="AR215" s="87">
        <f t="shared" si="519"/>
        <v>0</v>
      </c>
      <c r="AS215" s="77">
        <f t="shared" si="520"/>
        <v>4.3000000000000003E-2</v>
      </c>
      <c r="AT215" s="87">
        <f>IF($A215&gt;'Debt Service'!AR$58, 0, SUM(AR215:AR$242)*AS215*AR$63/AR$64+SUM(AR216:AR$242)*(AR$64-AR$63)/AR$64*AS215)</f>
        <v>127796.00000000001</v>
      </c>
      <c r="AV215" s="35">
        <f t="shared" si="521"/>
        <v>0</v>
      </c>
      <c r="AW215" s="35">
        <f t="shared" si="522"/>
        <v>291024</v>
      </c>
      <c r="AX215" s="87"/>
      <c r="AY215" s="87">
        <f t="shared" si="523"/>
        <v>561000</v>
      </c>
      <c r="AZ215" s="77">
        <f t="shared" si="524"/>
        <v>6.0999999999999999E-2</v>
      </c>
      <c r="BA215" s="87">
        <f>IF($A215&gt;'Debt Service'!AY$58, 0, SUM(AY215:AY$242)*AZ215*AY$63/AY$64+SUM(AY216:AY$242)*(AY$64-AY$63)/AY$64*AZ215)</f>
        <v>34221</v>
      </c>
      <c r="BB215" s="61"/>
      <c r="BC215" s="87">
        <f t="shared" si="525"/>
        <v>0</v>
      </c>
      <c r="BD215" s="77">
        <f t="shared" si="526"/>
        <v>6.0999999999999999E-2</v>
      </c>
      <c r="BE215" s="87">
        <f>IF($A215&gt;'Debt Service'!BC$58, 0, SUM(BC215:BC$242)*BD215*BC$63/BC$64+SUM(BC216:BC$242)*(BC$64-BC$63)/BC$64*BD215)</f>
        <v>97539</v>
      </c>
      <c r="BF215" s="61"/>
      <c r="BG215" s="87">
        <f t="shared" si="527"/>
        <v>0</v>
      </c>
      <c r="BH215" s="77">
        <f t="shared" si="528"/>
        <v>6.0999999999999999E-2</v>
      </c>
      <c r="BI215" s="87">
        <f>IF($A215&gt;'Debt Service'!BG$58, 0, SUM(BG215:BG$242)*BH215*BG$63/BG$64+SUM(BG216:BG$242)*(BG$64-BG$63)/BG$64*BH215)</f>
        <v>249063</v>
      </c>
      <c r="BJ215" s="61"/>
      <c r="BK215" s="35">
        <f t="shared" si="563"/>
        <v>561000</v>
      </c>
      <c r="BL215" s="35">
        <f t="shared" si="564"/>
        <v>380823</v>
      </c>
      <c r="BM215" s="86"/>
      <c r="BN215" s="87">
        <f t="shared" si="529"/>
        <v>0</v>
      </c>
      <c r="BO215" s="77" t="str">
        <f t="shared" si="530"/>
        <v xml:space="preserve">   </v>
      </c>
      <c r="BP215" s="87">
        <f>IF($A215&gt;'Debt Service'!BN$58, 0, SUM(BN215:BN$242)*BO215*BN$63/BN$64+SUM(BN216:BN$242)*(BN$64-BN$63)/BN$64*BO215)</f>
        <v>0</v>
      </c>
      <c r="BQ215" s="77"/>
      <c r="BR215" s="87">
        <f t="shared" si="531"/>
        <v>0</v>
      </c>
      <c r="BS215" s="77">
        <f t="shared" si="532"/>
        <v>5.6799999999999996E-2</v>
      </c>
      <c r="BT215" s="87">
        <f>IF($A215&gt;'Debt Service'!BR$58, 0, SUM(BR215:BR$242)*BS215*BR$63/BR$64+SUM(BR216:BR$242)*(BR$64-BR$63)/BR$64*BS215)</f>
        <v>194710.39999999999</v>
      </c>
      <c r="BU215" s="87"/>
      <c r="BV215" s="35">
        <f t="shared" si="565"/>
        <v>0</v>
      </c>
      <c r="BW215" s="35">
        <f t="shared" si="566"/>
        <v>194710.39999999999</v>
      </c>
      <c r="BX215" s="87"/>
      <c r="BY215" s="87">
        <f t="shared" si="533"/>
        <v>0</v>
      </c>
      <c r="BZ215" s="77" t="str">
        <f t="shared" si="534"/>
        <v xml:space="preserve">   </v>
      </c>
      <c r="CA215" s="87">
        <f>IF($A215&gt;'Debt Service'!BY$58, 0, SUM(BY215:BY$242)*BZ215*BY$63/BY$64+SUM(BY216:BY$242)*(BY$64-BY$63)/BY$64*BZ215)</f>
        <v>0</v>
      </c>
      <c r="CB215" s="87"/>
      <c r="CC215" s="87">
        <f t="shared" si="535"/>
        <v>0</v>
      </c>
      <c r="CD215" s="77" t="str">
        <f t="shared" si="536"/>
        <v xml:space="preserve">   </v>
      </c>
      <c r="CE215" s="87">
        <f>IF(OR($A215&gt;'Debt Service'!CC$58,$A215&lt;CC$51), 0, SUM(CC215:CC$242)*CD215*CC$63/CC$64+SUM(CC216:CC$242)*(CC$64-CC$63)/CC$64*CD215)</f>
        <v>0</v>
      </c>
      <c r="CF215" s="87"/>
      <c r="CG215" s="87">
        <f t="shared" si="537"/>
        <v>0</v>
      </c>
      <c r="CH215" s="77">
        <f t="shared" si="538"/>
        <v>5.6799999999999996E-2</v>
      </c>
      <c r="CI215" s="87">
        <f>IF(OR($A215&gt;'Debt Service'!CG$58,$A215&lt;CG$51), 0, SUM(CG215:CG$242)*CH215*CG$63/CG$64+SUM(CG216:CG$242)*(CG$64-CG$63)/CG$64*CH215)</f>
        <v>180453.59999999998</v>
      </c>
      <c r="CJ215" s="87"/>
      <c r="CK215" s="87">
        <f t="shared" si="539"/>
        <v>0</v>
      </c>
      <c r="CL215" s="77">
        <f t="shared" si="540"/>
        <v>6.0999999999999999E-2</v>
      </c>
      <c r="CM215" s="87">
        <f>IF(OR($A215&gt;'Debt Service'!CK$58,$A215&lt;CK$51), 0, SUM(CK215:CK$242)*CL215*CK$63/CK$64+SUM(CK216:CK$242)*(CK$64-CK$63)/CK$64*CL215)</f>
        <v>198067</v>
      </c>
      <c r="CN215" s="87"/>
      <c r="CO215" s="162">
        <f t="shared" si="541"/>
        <v>0</v>
      </c>
      <c r="CP215" s="87">
        <f t="shared" si="542"/>
        <v>378520.6</v>
      </c>
      <c r="CQ215" s="87"/>
      <c r="CR215" s="87">
        <f t="shared" si="543"/>
        <v>0</v>
      </c>
      <c r="CS215" s="77" t="str">
        <f t="shared" si="544"/>
        <v xml:space="preserve">   </v>
      </c>
      <c r="CT215" s="87">
        <f>IF(OR($A215&gt;'Debt Service'!CR$58,$A215&lt;CR$51), 0, SUM(CR215:CR$242)*CS215*CR$63/CR$64+SUM(CR216:CR$242)*(CR$64-CR$63)/CR$64*CS215)</f>
        <v>0</v>
      </c>
      <c r="CU215" s="87"/>
      <c r="CV215" s="87">
        <f t="shared" si="545"/>
        <v>0</v>
      </c>
      <c r="CW215" s="77">
        <f t="shared" si="546"/>
        <v>6.0999999999999999E-2</v>
      </c>
      <c r="CX215" s="87">
        <f>IF(OR($A215&gt;'Debt Service'!CV$58,$A215&lt;CV$51), 0, SUM(CV215:CV$242)*CW215*CV$63/CV$64+SUM(CV216:CV$242)*(CV$64-CV$63)/CV$64*CW215)</f>
        <v>206119</v>
      </c>
      <c r="CY215" s="87"/>
      <c r="CZ215" s="165">
        <f t="shared" si="547"/>
        <v>0</v>
      </c>
      <c r="DA215" s="165">
        <f t="shared" si="548"/>
        <v>206119</v>
      </c>
      <c r="DB215" s="87"/>
      <c r="DC215" s="87">
        <f t="shared" si="549"/>
        <v>2646245.4796851734</v>
      </c>
      <c r="DD215" s="77">
        <f t="shared" si="550"/>
        <v>6.0999999999999999E-2</v>
      </c>
      <c r="DE215" s="87">
        <f>IF(OR($A215&gt;DC$191, $A215&lt;DC$51), 0, SUM(DC215:DC$242)*DD215*DC$63/DC$64+SUM(DC216:DC$242)*(DC$64-DC$63)/DC$64*DD215)</f>
        <v>374593.51286960219</v>
      </c>
      <c r="DF215" s="87"/>
      <c r="DG215" s="87">
        <f t="shared" si="551"/>
        <v>0</v>
      </c>
      <c r="DH215" s="77" t="str">
        <f t="shared" si="552"/>
        <v xml:space="preserve">   </v>
      </c>
      <c r="DI215" s="87">
        <f>IF(OR($A215&gt;DG$58, $A215&lt;DG$51), 0, SUM(DG215:DG$242)*DH215*DG$63/DG$64+SUM(DG216:DG$242)*(DG$64-DG$63)/DG$64*DH215)</f>
        <v>0</v>
      </c>
      <c r="DJ215" s="87"/>
      <c r="DK215" s="87">
        <f t="shared" si="553"/>
        <v>0</v>
      </c>
      <c r="DL215" s="77" t="str">
        <f t="shared" si="554"/>
        <v xml:space="preserve">   </v>
      </c>
      <c r="DM215" s="87">
        <f>IF(OR($A215&gt;DK$58, $A215&lt;DK$51), 0, SUM(DK215:DK$242)*DL215*DK$63/DK$64+SUM(DK216:DK$242)*(DK$64-DK$63)/DK$64*DL215)</f>
        <v>0</v>
      </c>
      <c r="DN215" s="87"/>
      <c r="DO215" s="87">
        <f t="shared" si="555"/>
        <v>0</v>
      </c>
      <c r="DP215" s="77" t="str">
        <f t="shared" si="556"/>
        <v xml:space="preserve">   </v>
      </c>
      <c r="DQ215" s="87">
        <f>IF(OR($A215&gt;DO$58, $A215&lt;DO$51), 0, SUM(DO215:DO$242)*DP215*DO$63/DO$64+SUM(DO216:DO$242)*(DO$64-DO$63)/DO$64*DP215)</f>
        <v>0</v>
      </c>
      <c r="DR215" s="87"/>
      <c r="DS215" s="87">
        <f t="shared" si="557"/>
        <v>0</v>
      </c>
      <c r="DT215" s="77" t="str">
        <f t="shared" si="558"/>
        <v xml:space="preserve">   </v>
      </c>
      <c r="DU215" s="87">
        <f>IF(OR($A215&gt;DS$58, $A215&lt;DS$51), 0, SUM(DS215:DS$242)*DT215*DS$63/DS$64+SUM(DS216:DS$242)*(DS$64-DS$63)/DS$64*DT215)</f>
        <v>0</v>
      </c>
      <c r="DV215" s="87"/>
      <c r="DW215" s="165">
        <f t="shared" si="571"/>
        <v>3207245.4796851734</v>
      </c>
      <c r="DX215" s="165">
        <f t="shared" si="568"/>
        <v>1825790.5128696021</v>
      </c>
      <c r="DY215" s="87"/>
      <c r="DZ215" s="53">
        <f t="shared" si="559"/>
        <v>2033</v>
      </c>
      <c r="EA215" s="35">
        <f t="shared" si="560"/>
        <v>3207245.4796851734</v>
      </c>
      <c r="EB215" s="35">
        <f t="shared" si="561"/>
        <v>1825790.5128696021</v>
      </c>
      <c r="EC215" s="35">
        <f t="shared" si="570"/>
        <v>30498754.520314828</v>
      </c>
      <c r="ED215" s="143">
        <f t="shared" si="569"/>
        <v>10</v>
      </c>
      <c r="EE215"/>
    </row>
    <row r="216" spans="1:135" s="33" customFormat="1" outlineLevel="1">
      <c r="A216" s="7">
        <f t="shared" si="562"/>
        <v>2034</v>
      </c>
      <c r="B216" s="151">
        <f>Assumptions!B18</f>
        <v>5.3800000000000001E-2</v>
      </c>
      <c r="C216" s="151">
        <f>Assumptions!C18</f>
        <v>5.3800000000000001E-2</v>
      </c>
      <c r="D216" s="151">
        <f>Assumptions!D18</f>
        <v>3.5000000000000003E-2</v>
      </c>
      <c r="E216" s="151">
        <f>Assumptions!E18</f>
        <v>5.2999999999999999E-2</v>
      </c>
      <c r="F216" s="8"/>
      <c r="G216" s="8"/>
      <c r="H216" s="8"/>
      <c r="I216" s="8"/>
      <c r="J216" s="8"/>
      <c r="K216" s="8"/>
      <c r="L216" s="86"/>
      <c r="M216" s="87">
        <f t="shared" si="504"/>
        <v>0</v>
      </c>
      <c r="N216" s="77" t="str">
        <f t="shared" si="505"/>
        <v xml:space="preserve">   </v>
      </c>
      <c r="O216" s="87">
        <f>IF($A216&gt;'Debt Service'!M$58, 0, SUM(M216:M$242)*N216*M$63/M$64+SUM(M217:M$242)*(M$64-M$63)/M$64*N216)</f>
        <v>0</v>
      </c>
      <c r="P216" s="35"/>
      <c r="Q216" s="87">
        <f t="shared" si="506"/>
        <v>0</v>
      </c>
      <c r="R216" s="77" t="str">
        <f t="shared" si="507"/>
        <v xml:space="preserve">   </v>
      </c>
      <c r="S216" s="87">
        <f>IF($A216&gt;'Debt Service'!Q$58, 0, SUM(Q216:Q$242)*R216*Q$63/Q$64+SUM(Q217:Q$242)*(Q$64-Q$63)/Q$64*R216)</f>
        <v>0</v>
      </c>
      <c r="T216" s="35"/>
      <c r="U216" s="35">
        <f t="shared" si="508"/>
        <v>0</v>
      </c>
      <c r="V216" s="35">
        <f t="shared" si="509"/>
        <v>0</v>
      </c>
      <c r="W216" s="87"/>
      <c r="X216" s="87">
        <f t="shared" si="510"/>
        <v>0</v>
      </c>
      <c r="Y216" s="77" t="str">
        <f t="shared" si="511"/>
        <v xml:space="preserve">   </v>
      </c>
      <c r="Z216" s="87">
        <f>IF($A216&gt;'Debt Service'!X$58, 0, SUM(X216:X$242)*Y216*X$63/X$64+SUM(X217:X$242)*(X$64-X$63)/X$64*Y216)</f>
        <v>0</v>
      </c>
      <c r="AA216" s="87"/>
      <c r="AB216" s="87">
        <f t="shared" si="512"/>
        <v>0</v>
      </c>
      <c r="AC216" s="77" t="str">
        <f t="shared" si="513"/>
        <v xml:space="preserve">   </v>
      </c>
      <c r="AD216" s="87">
        <f>IF($A216&gt;'Debt Service'!AB$58, 0, SUM(AB216:AB$242)*AC216*AB$63/AB$64+SUM(AB217:AB$242)*(AB$64-AB$63)/AB$64*AC216)</f>
        <v>0</v>
      </c>
      <c r="AE216" s="87"/>
      <c r="AF216" s="87">
        <f t="shared" si="514"/>
        <v>0</v>
      </c>
      <c r="AG216" s="77">
        <f t="shared" si="515"/>
        <v>4.3000000000000003E-2</v>
      </c>
      <c r="AH216" s="87">
        <f>IF($A216&gt;'Debt Service'!AF$58, 0, SUM(AF216:AF$242)*AG216*AF$63/AF$64+SUM(AF217:AF$242)*(AF$64-AF$63)/AF$64*AG216)</f>
        <v>28208.000000000004</v>
      </c>
      <c r="AI216" s="35"/>
      <c r="AJ216" s="87">
        <f t="shared" si="516"/>
        <v>0</v>
      </c>
      <c r="AK216" s="77">
        <f t="shared" si="517"/>
        <v>4.3000000000000003E-2</v>
      </c>
      <c r="AL216" s="87">
        <f>IF($A216&gt;'Debt Service'!AJ$58, 0, SUM(AJ216:AJ$242)*AK216*AJ$63/AJ$64+SUM(AJ217:AJ$242)*(AJ$64-AJ$63)/AJ$64*AK216)</f>
        <v>135020</v>
      </c>
      <c r="AM216" s="35"/>
      <c r="AN216" s="87"/>
      <c r="AO216" s="77" t="str">
        <f t="shared" si="518"/>
        <v xml:space="preserve">   </v>
      </c>
      <c r="AP216" s="87">
        <f>IF($A216&gt;'Debt Service'!AN$58, 0, SUM(AN216:AN$242)*AO216*AN$63/AN$64+SUM(AN217:AN$242)*(AN$64-AN$63)/AN$64*AO216)</f>
        <v>0</v>
      </c>
      <c r="AQ216" s="87"/>
      <c r="AR216" s="87">
        <f t="shared" si="519"/>
        <v>0</v>
      </c>
      <c r="AS216" s="77">
        <f t="shared" si="520"/>
        <v>4.3000000000000003E-2</v>
      </c>
      <c r="AT216" s="87">
        <f>IF($A216&gt;'Debt Service'!AR$58, 0, SUM(AR216:AR$242)*AS216*AR$63/AR$64+SUM(AR217:AR$242)*(AR$64-AR$63)/AR$64*AS216)</f>
        <v>127796.00000000001</v>
      </c>
      <c r="AV216" s="35">
        <f t="shared" si="521"/>
        <v>0</v>
      </c>
      <c r="AW216" s="35">
        <f t="shared" si="522"/>
        <v>291024</v>
      </c>
      <c r="AX216" s="87"/>
      <c r="AY216" s="87">
        <f t="shared" si="523"/>
        <v>0</v>
      </c>
      <c r="AZ216" s="77" t="str">
        <f t="shared" si="524"/>
        <v xml:space="preserve">   </v>
      </c>
      <c r="BA216" s="87">
        <f>IF($A216&gt;'Debt Service'!AY$58, 0, SUM(AY216:AY$242)*AZ216*AY$63/AY$64+SUM(AY217:AY$242)*(AY$64-AY$63)/AY$64*AZ216)</f>
        <v>0</v>
      </c>
      <c r="BB216" s="61"/>
      <c r="BC216" s="87">
        <f t="shared" si="525"/>
        <v>0</v>
      </c>
      <c r="BD216" s="77">
        <f t="shared" si="526"/>
        <v>6.0999999999999999E-2</v>
      </c>
      <c r="BE216" s="87">
        <f>IF($A216&gt;'Debt Service'!BC$58, 0, SUM(BC216:BC$242)*BD216*BC$63/BC$64+SUM(BC217:BC$242)*(BC$64-BC$63)/BC$64*BD216)</f>
        <v>97539</v>
      </c>
      <c r="BF216" s="61"/>
      <c r="BG216" s="87">
        <f t="shared" si="527"/>
        <v>0</v>
      </c>
      <c r="BH216" s="77">
        <f t="shared" si="528"/>
        <v>6.0999999999999999E-2</v>
      </c>
      <c r="BI216" s="87">
        <f>IF($A216&gt;'Debt Service'!BG$58, 0, SUM(BG216:BG$242)*BH216*BG$63/BG$64+SUM(BG217:BG$242)*(BG$64-BG$63)/BG$64*BH216)</f>
        <v>249063</v>
      </c>
      <c r="BJ216" s="61"/>
      <c r="BK216" s="35">
        <f t="shared" si="563"/>
        <v>0</v>
      </c>
      <c r="BL216" s="35">
        <f t="shared" si="564"/>
        <v>346602</v>
      </c>
      <c r="BM216" s="86"/>
      <c r="BN216" s="87">
        <f t="shared" si="529"/>
        <v>0</v>
      </c>
      <c r="BO216" s="77" t="str">
        <f t="shared" si="530"/>
        <v xml:space="preserve">   </v>
      </c>
      <c r="BP216" s="87">
        <f>IF($A216&gt;'Debt Service'!BN$58, 0, SUM(BN216:BN$242)*BO216*BN$63/BN$64+SUM(BN217:BN$242)*(BN$64-BN$63)/BN$64*BO216)</f>
        <v>0</v>
      </c>
      <c r="BQ216" s="77"/>
      <c r="BR216" s="87">
        <f t="shared" si="531"/>
        <v>0</v>
      </c>
      <c r="BS216" s="77">
        <f t="shared" si="532"/>
        <v>5.6799999999999996E-2</v>
      </c>
      <c r="BT216" s="87">
        <f>IF($A216&gt;'Debt Service'!BR$58, 0, SUM(BR216:BR$242)*BS216*BR$63/BR$64+SUM(BR217:BR$242)*(BR$64-BR$63)/BR$64*BS216)</f>
        <v>194710.39999999999</v>
      </c>
      <c r="BU216" s="87"/>
      <c r="BV216" s="35">
        <f t="shared" si="565"/>
        <v>0</v>
      </c>
      <c r="BW216" s="35">
        <f t="shared" si="566"/>
        <v>194710.39999999999</v>
      </c>
      <c r="BX216" s="87"/>
      <c r="BY216" s="87">
        <f t="shared" si="533"/>
        <v>0</v>
      </c>
      <c r="BZ216" s="77" t="str">
        <f t="shared" si="534"/>
        <v xml:space="preserve">   </v>
      </c>
      <c r="CA216" s="87">
        <f>IF($A216&gt;'Debt Service'!BY$58, 0, SUM(BY216:BY$242)*BZ216*BY$63/BY$64+SUM(BY217:BY$242)*(BY$64-BY$63)/BY$64*BZ216)</f>
        <v>0</v>
      </c>
      <c r="CB216" s="87"/>
      <c r="CC216" s="87">
        <f t="shared" si="535"/>
        <v>0</v>
      </c>
      <c r="CD216" s="77" t="str">
        <f t="shared" si="536"/>
        <v xml:space="preserve">   </v>
      </c>
      <c r="CE216" s="87">
        <f>IF(OR($A216&gt;'Debt Service'!CC$58,$A216&lt;CC$51), 0, SUM(CC216:CC$242)*CD216*CC$63/CC$64+SUM(CC217:CC$242)*(CC$64-CC$63)/CC$64*CD216)</f>
        <v>0</v>
      </c>
      <c r="CF216" s="87"/>
      <c r="CG216" s="87">
        <f t="shared" si="537"/>
        <v>0</v>
      </c>
      <c r="CH216" s="77">
        <f t="shared" si="538"/>
        <v>5.6799999999999996E-2</v>
      </c>
      <c r="CI216" s="87">
        <f>IF(OR($A216&gt;'Debt Service'!CG$58,$A216&lt;CG$51), 0, SUM(CG216:CG$242)*CH216*CG$63/CG$64+SUM(CG217:CG$242)*(CG$64-CG$63)/CG$64*CH216)</f>
        <v>180453.59999999998</v>
      </c>
      <c r="CJ216" s="87"/>
      <c r="CK216" s="87">
        <f t="shared" si="539"/>
        <v>0</v>
      </c>
      <c r="CL216" s="77">
        <f t="shared" si="540"/>
        <v>6.0999999999999999E-2</v>
      </c>
      <c r="CM216" s="87">
        <f>IF(OR($A216&gt;'Debt Service'!CK$58,$A216&lt;CK$51), 0, SUM(CK216:CK$242)*CL216*CK$63/CK$64+SUM(CK217:CK$242)*(CK$64-CK$63)/CK$64*CL216)</f>
        <v>198067</v>
      </c>
      <c r="CN216" s="87"/>
      <c r="CO216" s="162">
        <f t="shared" si="541"/>
        <v>0</v>
      </c>
      <c r="CP216" s="87">
        <f t="shared" si="542"/>
        <v>378520.6</v>
      </c>
      <c r="CQ216" s="87"/>
      <c r="CR216" s="87">
        <f t="shared" si="543"/>
        <v>0</v>
      </c>
      <c r="CS216" s="77" t="str">
        <f t="shared" si="544"/>
        <v xml:space="preserve">   </v>
      </c>
      <c r="CT216" s="87">
        <f>IF(OR($A216&gt;'Debt Service'!CR$58,$A216&lt;CR$51), 0, SUM(CR216:CR$242)*CS216*CR$63/CR$64+SUM(CR217:CR$242)*(CR$64-CR$63)/CR$64*CS216)</f>
        <v>0</v>
      </c>
      <c r="CU216" s="87"/>
      <c r="CV216" s="87">
        <f t="shared" si="545"/>
        <v>0</v>
      </c>
      <c r="CW216" s="77">
        <f t="shared" si="546"/>
        <v>6.0999999999999999E-2</v>
      </c>
      <c r="CX216" s="87">
        <f>IF(OR($A216&gt;'Debt Service'!CV$58,$A216&lt;CV$51), 0, SUM(CV216:CV$242)*CW216*CV$63/CV$64+SUM(CV217:CV$242)*(CV$64-CV$63)/CV$64*CW216)</f>
        <v>206119</v>
      </c>
      <c r="CY216" s="87"/>
      <c r="CZ216" s="165">
        <f t="shared" si="547"/>
        <v>0</v>
      </c>
      <c r="DA216" s="165">
        <f t="shared" si="548"/>
        <v>206119</v>
      </c>
      <c r="DB216" s="87"/>
      <c r="DC216" s="87">
        <f t="shared" si="549"/>
        <v>2171509.0406296533</v>
      </c>
      <c r="DD216" s="77">
        <f t="shared" si="550"/>
        <v>6.0999999999999999E-2</v>
      </c>
      <c r="DE216" s="87">
        <f>IF(OR($A216&gt;DC$191, $A216&lt;DC$51), 0, SUM(DC216:DC$242)*DD216*DC$63/DC$64+SUM(DC217:DC$242)*(DC$64-DC$63)/DC$64*DD216)</f>
        <v>227652</v>
      </c>
      <c r="DF216" s="87"/>
      <c r="DG216" s="87">
        <f t="shared" si="551"/>
        <v>0</v>
      </c>
      <c r="DH216" s="77" t="str">
        <f t="shared" si="552"/>
        <v xml:space="preserve">   </v>
      </c>
      <c r="DI216" s="87">
        <f>IF(OR($A216&gt;DG$58, $A216&lt;DG$51), 0, SUM(DG216:DG$242)*DH216*DG$63/DG$64+SUM(DG217:DG$242)*(DG$64-DG$63)/DG$64*DH216)</f>
        <v>0</v>
      </c>
      <c r="DJ216" s="87"/>
      <c r="DK216" s="87">
        <f t="shared" si="553"/>
        <v>0</v>
      </c>
      <c r="DL216" s="77" t="str">
        <f t="shared" si="554"/>
        <v xml:space="preserve">   </v>
      </c>
      <c r="DM216" s="87">
        <f>IF(OR($A216&gt;DK$58, $A216&lt;DK$51), 0, SUM(DK216:DK$242)*DL216*DK$63/DK$64+SUM(DK217:DK$242)*(DK$64-DK$63)/DK$64*DL216)</f>
        <v>0</v>
      </c>
      <c r="DN216" s="87"/>
      <c r="DO216" s="87">
        <f t="shared" si="555"/>
        <v>0</v>
      </c>
      <c r="DP216" s="77" t="str">
        <f t="shared" si="556"/>
        <v xml:space="preserve">   </v>
      </c>
      <c r="DQ216" s="87">
        <f>IF(OR($A216&gt;DO$58, $A216&lt;DO$51), 0, SUM(DO216:DO$242)*DP216*DO$63/DO$64+SUM(DO217:DO$242)*(DO$64-DO$63)/DO$64*DP216)</f>
        <v>0</v>
      </c>
      <c r="DR216" s="87"/>
      <c r="DS216" s="87">
        <f t="shared" si="557"/>
        <v>0</v>
      </c>
      <c r="DT216" s="77" t="str">
        <f t="shared" si="558"/>
        <v xml:space="preserve">   </v>
      </c>
      <c r="DU216" s="87">
        <f>IF(OR($A216&gt;DS$58, $A216&lt;DS$51), 0, SUM(DS216:DS$242)*DT216*DS$63/DS$64+SUM(DS217:DS$242)*(DS$64-DS$63)/DS$64*DT216)</f>
        <v>0</v>
      </c>
      <c r="DV216" s="87"/>
      <c r="DW216" s="165">
        <f t="shared" si="571"/>
        <v>2171509.0406296533</v>
      </c>
      <c r="DX216" s="165">
        <f t="shared" si="568"/>
        <v>1644628</v>
      </c>
      <c r="DY216" s="87"/>
      <c r="DZ216" s="53">
        <f t="shared" si="559"/>
        <v>2034</v>
      </c>
      <c r="EA216" s="35">
        <f t="shared" si="560"/>
        <v>2171509.0406296533</v>
      </c>
      <c r="EB216" s="35">
        <f t="shared" si="561"/>
        <v>1644628</v>
      </c>
      <c r="EC216" s="35">
        <f t="shared" si="570"/>
        <v>28327245.479685172</v>
      </c>
      <c r="ED216" s="143">
        <f t="shared" si="569"/>
        <v>11</v>
      </c>
      <c r="EE216"/>
    </row>
    <row r="217" spans="1:135" s="33" customFormat="1" outlineLevel="1">
      <c r="A217" s="7">
        <f t="shared" si="562"/>
        <v>2035</v>
      </c>
      <c r="B217" s="151">
        <f>Assumptions!B19</f>
        <v>5.3800000000000001E-2</v>
      </c>
      <c r="C217" s="151">
        <f>Assumptions!C19</f>
        <v>5.3800000000000001E-2</v>
      </c>
      <c r="D217" s="151">
        <f>Assumptions!D19</f>
        <v>3.5000000000000003E-2</v>
      </c>
      <c r="E217" s="151">
        <f>Assumptions!E19</f>
        <v>5.2999999999999999E-2</v>
      </c>
      <c r="F217" s="8"/>
      <c r="G217" s="8"/>
      <c r="H217" s="8"/>
      <c r="I217" s="8"/>
      <c r="J217" s="8"/>
      <c r="K217" s="8"/>
      <c r="L217" s="86"/>
      <c r="M217" s="87">
        <f t="shared" si="504"/>
        <v>0</v>
      </c>
      <c r="N217" s="77" t="str">
        <f t="shared" si="505"/>
        <v xml:space="preserve">   </v>
      </c>
      <c r="O217" s="87">
        <f>IF($A217&gt;'Debt Service'!M$58, 0, SUM(M217:M$242)*N217*M$63/M$64+SUM(M218:M$242)*(M$64-M$63)/M$64*N217)</f>
        <v>0</v>
      </c>
      <c r="P217" s="35"/>
      <c r="Q217" s="87">
        <f t="shared" si="506"/>
        <v>0</v>
      </c>
      <c r="R217" s="77" t="str">
        <f t="shared" si="507"/>
        <v xml:space="preserve">   </v>
      </c>
      <c r="S217" s="87">
        <f>IF($A217&gt;'Debt Service'!Q$58, 0, SUM(Q217:Q$242)*R217*Q$63/Q$64+SUM(Q218:Q$242)*(Q$64-Q$63)/Q$64*R217)</f>
        <v>0</v>
      </c>
      <c r="T217" s="35"/>
      <c r="U217" s="35">
        <f t="shared" si="508"/>
        <v>0</v>
      </c>
      <c r="V217" s="35">
        <f t="shared" si="509"/>
        <v>0</v>
      </c>
      <c r="W217" s="87"/>
      <c r="X217" s="87">
        <f t="shared" si="510"/>
        <v>0</v>
      </c>
      <c r="Y217" s="77" t="str">
        <f t="shared" si="511"/>
        <v xml:space="preserve">   </v>
      </c>
      <c r="Z217" s="87">
        <f>IF($A217&gt;'Debt Service'!X$58, 0, SUM(X217:X$242)*Y217*X$63/X$64+SUM(X218:X$242)*(X$64-X$63)/X$64*Y217)</f>
        <v>0</v>
      </c>
      <c r="AA217" s="87"/>
      <c r="AB217" s="87">
        <f t="shared" si="512"/>
        <v>0</v>
      </c>
      <c r="AC217" s="77" t="str">
        <f t="shared" si="513"/>
        <v xml:space="preserve">   </v>
      </c>
      <c r="AD217" s="87">
        <f>IF($A217&gt;'Debt Service'!AB$58, 0, SUM(AB217:AB$242)*AC217*AB$63/AB$64+SUM(AB218:AB$242)*(AB$64-AB$63)/AB$64*AC217)</f>
        <v>0</v>
      </c>
      <c r="AE217" s="87"/>
      <c r="AF217" s="87">
        <f t="shared" si="514"/>
        <v>0</v>
      </c>
      <c r="AG217" s="77">
        <f t="shared" si="515"/>
        <v>4.3000000000000003E-2</v>
      </c>
      <c r="AH217" s="87">
        <f>IF($A217&gt;'Debt Service'!AF$58, 0, SUM(AF217:AF$242)*AG217*AF$63/AF$64+SUM(AF218:AF$242)*(AF$64-AF$63)/AF$64*AG217)</f>
        <v>28208.000000000004</v>
      </c>
      <c r="AI217" s="35"/>
      <c r="AJ217" s="87">
        <f t="shared" si="516"/>
        <v>0</v>
      </c>
      <c r="AK217" s="77">
        <f t="shared" si="517"/>
        <v>4.3000000000000003E-2</v>
      </c>
      <c r="AL217" s="87">
        <f>IF($A217&gt;'Debt Service'!AJ$58, 0, SUM(AJ217:AJ$242)*AK217*AJ$63/AJ$64+SUM(AJ218:AJ$242)*(AJ$64-AJ$63)/AJ$64*AK217)</f>
        <v>135020</v>
      </c>
      <c r="AM217" s="35"/>
      <c r="AN217" s="87"/>
      <c r="AO217" s="77" t="str">
        <f t="shared" si="518"/>
        <v xml:space="preserve">   </v>
      </c>
      <c r="AP217" s="87">
        <f>IF($A217&gt;'Debt Service'!AN$58, 0, SUM(AN217:AN$242)*AO217*AN$63/AN$64+SUM(AN218:AN$242)*(AN$64-AN$63)/AN$64*AO217)</f>
        <v>0</v>
      </c>
      <c r="AQ217" s="87"/>
      <c r="AR217" s="87">
        <f t="shared" si="519"/>
        <v>0</v>
      </c>
      <c r="AS217" s="77">
        <f t="shared" si="520"/>
        <v>4.3000000000000003E-2</v>
      </c>
      <c r="AT217" s="87">
        <f>IF($A217&gt;'Debt Service'!AR$58, 0, SUM(AR217:AR$242)*AS217*AR$63/AR$64+SUM(AR218:AR$242)*(AR$64-AR$63)/AR$64*AS217)</f>
        <v>127796.00000000001</v>
      </c>
      <c r="AV217" s="35">
        <f t="shared" si="521"/>
        <v>0</v>
      </c>
      <c r="AW217" s="35">
        <f t="shared" si="522"/>
        <v>291024</v>
      </c>
      <c r="AX217" s="87"/>
      <c r="AY217" s="87">
        <f t="shared" si="523"/>
        <v>0</v>
      </c>
      <c r="AZ217" s="77" t="str">
        <f t="shared" si="524"/>
        <v xml:space="preserve">   </v>
      </c>
      <c r="BA217" s="87">
        <f>IF($A217&gt;'Debt Service'!AY$58, 0, SUM(AY217:AY$242)*AZ217*AY$63/AY$64+SUM(AY218:AY$242)*(AY$64-AY$63)/AY$64*AZ217)</f>
        <v>0</v>
      </c>
      <c r="BB217" s="61"/>
      <c r="BC217" s="87">
        <f t="shared" si="525"/>
        <v>0</v>
      </c>
      <c r="BD217" s="77">
        <f t="shared" si="526"/>
        <v>6.0999999999999999E-2</v>
      </c>
      <c r="BE217" s="87">
        <f>IF($A217&gt;'Debt Service'!BC$58, 0, SUM(BC217:BC$242)*BD217*BC$63/BC$64+SUM(BC218:BC$242)*(BC$64-BC$63)/BC$64*BD217)</f>
        <v>97539</v>
      </c>
      <c r="BF217" s="61"/>
      <c r="BG217" s="87">
        <f t="shared" si="527"/>
        <v>0</v>
      </c>
      <c r="BH217" s="77">
        <f t="shared" si="528"/>
        <v>6.0999999999999999E-2</v>
      </c>
      <c r="BI217" s="87">
        <f>IF($A217&gt;'Debt Service'!BG$58, 0, SUM(BG217:BG$242)*BH217*BG$63/BG$64+SUM(BG218:BG$242)*(BG$64-BG$63)/BG$64*BH217)</f>
        <v>249063</v>
      </c>
      <c r="BJ217" s="61"/>
      <c r="BK217" s="35">
        <f t="shared" si="563"/>
        <v>0</v>
      </c>
      <c r="BL217" s="35">
        <f t="shared" si="564"/>
        <v>346602</v>
      </c>
      <c r="BM217" s="86"/>
      <c r="BN217" s="87">
        <f t="shared" si="529"/>
        <v>0</v>
      </c>
      <c r="BO217" s="77" t="str">
        <f t="shared" si="530"/>
        <v xml:space="preserve">   </v>
      </c>
      <c r="BP217" s="87">
        <f>IF($A217&gt;'Debt Service'!BN$58, 0, SUM(BN217:BN$242)*BO217*BN$63/BN$64+SUM(BN218:BN$242)*(BN$64-BN$63)/BN$64*BO217)</f>
        <v>0</v>
      </c>
      <c r="BQ217" s="77"/>
      <c r="BR217" s="87">
        <f t="shared" si="531"/>
        <v>0</v>
      </c>
      <c r="BS217" s="77">
        <f t="shared" si="532"/>
        <v>5.6799999999999996E-2</v>
      </c>
      <c r="BT217" s="87">
        <f>IF($A217&gt;'Debt Service'!BR$58, 0, SUM(BR217:BR$242)*BS217*BR$63/BR$64+SUM(BR218:BR$242)*(BR$64-BR$63)/BR$64*BS217)</f>
        <v>194710.39999999999</v>
      </c>
      <c r="BU217" s="87"/>
      <c r="BV217" s="35">
        <f t="shared" si="565"/>
        <v>0</v>
      </c>
      <c r="BW217" s="35">
        <f t="shared" si="566"/>
        <v>194710.39999999999</v>
      </c>
      <c r="BX217" s="87"/>
      <c r="BY217" s="87">
        <f t="shared" si="533"/>
        <v>0</v>
      </c>
      <c r="BZ217" s="77" t="str">
        <f t="shared" si="534"/>
        <v xml:space="preserve">   </v>
      </c>
      <c r="CA217" s="87">
        <f>IF($A217&gt;'Debt Service'!BY$58, 0, SUM(BY217:BY$242)*BZ217*BY$63/BY$64+SUM(BY218:BY$242)*(BY$64-BY$63)/BY$64*BZ217)</f>
        <v>0</v>
      </c>
      <c r="CB217" s="87"/>
      <c r="CC217" s="87">
        <f t="shared" si="535"/>
        <v>0</v>
      </c>
      <c r="CD217" s="77" t="str">
        <f t="shared" si="536"/>
        <v xml:space="preserve">   </v>
      </c>
      <c r="CE217" s="87">
        <f>IF(OR($A217&gt;'Debt Service'!CC$58,$A217&lt;CC$51), 0, SUM(CC217:CC$242)*CD217*CC$63/CC$64+SUM(CC218:CC$242)*(CC$64-CC$63)/CC$64*CD217)</f>
        <v>0</v>
      </c>
      <c r="CF217" s="87"/>
      <c r="CG217" s="87">
        <f t="shared" si="537"/>
        <v>0</v>
      </c>
      <c r="CH217" s="77">
        <f t="shared" si="538"/>
        <v>5.6799999999999996E-2</v>
      </c>
      <c r="CI217" s="87">
        <f>IF(OR($A217&gt;'Debt Service'!CG$58,$A217&lt;CG$51), 0, SUM(CG217:CG$242)*CH217*CG$63/CG$64+SUM(CG218:CG$242)*(CG$64-CG$63)/CG$64*CH217)</f>
        <v>180453.59999999998</v>
      </c>
      <c r="CJ217" s="87"/>
      <c r="CK217" s="87">
        <f t="shared" si="539"/>
        <v>0</v>
      </c>
      <c r="CL217" s="77">
        <f t="shared" si="540"/>
        <v>6.0999999999999999E-2</v>
      </c>
      <c r="CM217" s="87">
        <f>IF(OR($A217&gt;'Debt Service'!CK$58,$A217&lt;CK$51), 0, SUM(CK217:CK$242)*CL217*CK$63/CK$64+SUM(CK218:CK$242)*(CK$64-CK$63)/CK$64*CL217)</f>
        <v>198067</v>
      </c>
      <c r="CN217" s="87"/>
      <c r="CO217" s="162">
        <f t="shared" si="541"/>
        <v>0</v>
      </c>
      <c r="CP217" s="87">
        <f t="shared" si="542"/>
        <v>378520.6</v>
      </c>
      <c r="CQ217" s="87"/>
      <c r="CR217" s="87">
        <f t="shared" si="543"/>
        <v>0</v>
      </c>
      <c r="CS217" s="77" t="str">
        <f t="shared" si="544"/>
        <v xml:space="preserve">   </v>
      </c>
      <c r="CT217" s="87">
        <f>IF(OR($A217&gt;'Debt Service'!CR$58,$A217&lt;CR$51), 0, SUM(CR217:CR$242)*CS217*CR$63/CR$64+SUM(CR218:CR$242)*(CR$64-CR$63)/CR$64*CS217)</f>
        <v>0</v>
      </c>
      <c r="CU217" s="87"/>
      <c r="CV217" s="87">
        <f t="shared" si="545"/>
        <v>0</v>
      </c>
      <c r="CW217" s="77">
        <f t="shared" si="546"/>
        <v>6.0999999999999999E-2</v>
      </c>
      <c r="CX217" s="87">
        <f>IF(OR($A217&gt;'Debt Service'!CV$58,$A217&lt;CV$51), 0, SUM(CV217:CV$242)*CW217*CV$63/CV$64+SUM(CV218:CV$242)*(CV$64-CV$63)/CV$64*CW217)</f>
        <v>206119</v>
      </c>
      <c r="CY217" s="87"/>
      <c r="CZ217" s="165">
        <f t="shared" si="547"/>
        <v>0</v>
      </c>
      <c r="DA217" s="165">
        <f t="shared" si="548"/>
        <v>206119</v>
      </c>
      <c r="DB217" s="87"/>
      <c r="DC217" s="87">
        <f t="shared" si="549"/>
        <v>2646245.4796851734</v>
      </c>
      <c r="DD217" s="77">
        <f t="shared" si="550"/>
        <v>6.0999999999999999E-2</v>
      </c>
      <c r="DE217" s="87">
        <f>IF(OR($A217&gt;DC$191, $A217&lt;DC$51), 0, SUM(DC217:DC$242)*DD217*DC$63/DC$64+SUM(DC218:DC$242)*(DC$64-DC$63)/DC$64*DD217)</f>
        <v>80710.487130397785</v>
      </c>
      <c r="DF217" s="87"/>
      <c r="DG217" s="87">
        <f t="shared" si="551"/>
        <v>0</v>
      </c>
      <c r="DH217" s="77" t="str">
        <f t="shared" si="552"/>
        <v xml:space="preserve">   </v>
      </c>
      <c r="DI217" s="87">
        <f>IF(OR($A217&gt;DG$58, $A217&lt;DG$51), 0, SUM(DG217:DG$242)*DH217*DG$63/DG$64+SUM(DG218:DG$242)*(DG$64-DG$63)/DG$64*DH217)</f>
        <v>0</v>
      </c>
      <c r="DJ217" s="87"/>
      <c r="DK217" s="87">
        <f t="shared" si="553"/>
        <v>0</v>
      </c>
      <c r="DL217" s="77" t="str">
        <f t="shared" si="554"/>
        <v xml:space="preserve">   </v>
      </c>
      <c r="DM217" s="87">
        <f>IF(OR($A217&gt;DK$58, $A217&lt;DK$51), 0, SUM(DK217:DK$242)*DL217*DK$63/DK$64+SUM(DK218:DK$242)*(DK$64-DK$63)/DK$64*DL217)</f>
        <v>0</v>
      </c>
      <c r="DN217" s="87"/>
      <c r="DO217" s="87">
        <f t="shared" si="555"/>
        <v>0</v>
      </c>
      <c r="DP217" s="77" t="str">
        <f t="shared" si="556"/>
        <v xml:space="preserve">   </v>
      </c>
      <c r="DQ217" s="87">
        <f>IF(OR($A217&gt;DO$58, $A217&lt;DO$51), 0, SUM(DO217:DO$242)*DP217*DO$63/DO$64+SUM(DO218:DO$242)*(DO$64-DO$63)/DO$64*DP217)</f>
        <v>0</v>
      </c>
      <c r="DR217" s="87"/>
      <c r="DS217" s="87">
        <f t="shared" si="557"/>
        <v>0</v>
      </c>
      <c r="DT217" s="77" t="str">
        <f t="shared" si="558"/>
        <v xml:space="preserve">   </v>
      </c>
      <c r="DU217" s="87">
        <f>IF(OR($A217&gt;DS$58, $A217&lt;DS$51), 0, SUM(DS217:DS$242)*DT217*DS$63/DS$64+SUM(DS218:DS$242)*(DS$64-DS$63)/DS$64*DT217)</f>
        <v>0</v>
      </c>
      <c r="DV217" s="87"/>
      <c r="DW217" s="165">
        <f t="shared" si="571"/>
        <v>2646245.4796851734</v>
      </c>
      <c r="DX217" s="165">
        <f t="shared" si="568"/>
        <v>1497686.4871303977</v>
      </c>
      <c r="DY217" s="87"/>
      <c r="DZ217" s="53">
        <f t="shared" si="559"/>
        <v>2035</v>
      </c>
      <c r="EA217" s="35">
        <f t="shared" si="560"/>
        <v>2646245.4796851734</v>
      </c>
      <c r="EB217" s="35">
        <f t="shared" si="561"/>
        <v>1497686.4871303977</v>
      </c>
      <c r="EC217" s="35">
        <f t="shared" si="570"/>
        <v>25681000</v>
      </c>
      <c r="ED217" s="143">
        <f t="shared" si="569"/>
        <v>12</v>
      </c>
      <c r="EE217"/>
    </row>
    <row r="218" spans="1:135" s="33" customFormat="1" outlineLevel="1">
      <c r="A218" s="7">
        <f t="shared" si="562"/>
        <v>2036</v>
      </c>
      <c r="B218" s="151">
        <f>Assumptions!B20</f>
        <v>5.3800000000000001E-2</v>
      </c>
      <c r="C218" s="151">
        <f>Assumptions!C20</f>
        <v>5.3800000000000001E-2</v>
      </c>
      <c r="D218" s="151">
        <f>Assumptions!D20</f>
        <v>3.5000000000000003E-2</v>
      </c>
      <c r="E218" s="151">
        <f>Assumptions!E20</f>
        <v>5.2999999999999999E-2</v>
      </c>
      <c r="F218" s="8"/>
      <c r="G218" s="8"/>
      <c r="H218" s="8"/>
      <c r="I218" s="8"/>
      <c r="J218" s="8"/>
      <c r="K218" s="8"/>
      <c r="L218" s="86"/>
      <c r="M218" s="87">
        <f t="shared" si="504"/>
        <v>0</v>
      </c>
      <c r="N218" s="77" t="str">
        <f t="shared" si="505"/>
        <v xml:space="preserve">   </v>
      </c>
      <c r="O218" s="87">
        <f>IF($A218&gt;'Debt Service'!M$58, 0, SUM(M218:M$242)*N218*M$63/M$64+SUM(M219:M$242)*(M$64-M$63)/M$64*N218)</f>
        <v>0</v>
      </c>
      <c r="P218" s="35"/>
      <c r="Q218" s="87">
        <f t="shared" si="506"/>
        <v>0</v>
      </c>
      <c r="R218" s="77" t="str">
        <f t="shared" si="507"/>
        <v xml:space="preserve">   </v>
      </c>
      <c r="S218" s="87">
        <f>IF($A218&gt;'Debt Service'!Q$58, 0, SUM(Q218:Q$242)*R218*Q$63/Q$64+SUM(Q219:Q$242)*(Q$64-Q$63)/Q$64*R218)</f>
        <v>0</v>
      </c>
      <c r="T218" s="35"/>
      <c r="U218" s="35">
        <f t="shared" si="508"/>
        <v>0</v>
      </c>
      <c r="V218" s="35">
        <f t="shared" si="509"/>
        <v>0</v>
      </c>
      <c r="W218" s="87"/>
      <c r="X218" s="87">
        <f t="shared" si="510"/>
        <v>0</v>
      </c>
      <c r="Y218" s="77" t="str">
        <f t="shared" si="511"/>
        <v xml:space="preserve">   </v>
      </c>
      <c r="Z218" s="87">
        <f>IF($A218&gt;'Debt Service'!X$58, 0, SUM(X218:X$242)*Y218*X$63/X$64+SUM(X219:X$242)*(X$64-X$63)/X$64*Y218)</f>
        <v>0</v>
      </c>
      <c r="AA218" s="87"/>
      <c r="AB218" s="87">
        <f t="shared" si="512"/>
        <v>0</v>
      </c>
      <c r="AC218" s="77" t="str">
        <f t="shared" si="513"/>
        <v xml:space="preserve">   </v>
      </c>
      <c r="AD218" s="87">
        <f>IF($A218&gt;'Debt Service'!AB$58, 0, SUM(AB218:AB$242)*AC218*AB$63/AB$64+SUM(AB219:AB$242)*(AB$64-AB$63)/AB$64*AC218)</f>
        <v>0</v>
      </c>
      <c r="AE218" s="87"/>
      <c r="AF218" s="87">
        <f t="shared" si="514"/>
        <v>0</v>
      </c>
      <c r="AG218" s="77">
        <f t="shared" si="515"/>
        <v>4.3000000000000003E-2</v>
      </c>
      <c r="AH218" s="87">
        <f>IF($A218&gt;'Debt Service'!AF$58, 0, SUM(AF218:AF$242)*AG218*AF$63/AF$64+SUM(AF219:AF$242)*(AF$64-AF$63)/AF$64*AG218)</f>
        <v>28208.000000000004</v>
      </c>
      <c r="AI218" s="35"/>
      <c r="AJ218" s="87">
        <f t="shared" si="516"/>
        <v>0</v>
      </c>
      <c r="AK218" s="77">
        <f t="shared" si="517"/>
        <v>4.3000000000000003E-2</v>
      </c>
      <c r="AL218" s="87">
        <f>IF($A218&gt;'Debt Service'!AJ$58, 0, SUM(AJ218:AJ$242)*AK218*AJ$63/AJ$64+SUM(AJ219:AJ$242)*(AJ$64-AJ$63)/AJ$64*AK218)</f>
        <v>135020</v>
      </c>
      <c r="AM218" s="35"/>
      <c r="AN218" s="87"/>
      <c r="AO218" s="77" t="str">
        <f t="shared" si="518"/>
        <v xml:space="preserve">   </v>
      </c>
      <c r="AP218" s="87">
        <f>IF($A218&gt;'Debt Service'!AN$58, 0, SUM(AN218:AN$242)*AO218*AN$63/AN$64+SUM(AN219:AN$242)*(AN$64-AN$63)/AN$64*AO218)</f>
        <v>0</v>
      </c>
      <c r="AQ218" s="87"/>
      <c r="AR218" s="87">
        <f t="shared" si="519"/>
        <v>0</v>
      </c>
      <c r="AS218" s="77">
        <f t="shared" si="520"/>
        <v>4.3000000000000003E-2</v>
      </c>
      <c r="AT218" s="87">
        <f>IF($A218&gt;'Debt Service'!AR$58, 0, SUM(AR218:AR$242)*AS218*AR$63/AR$64+SUM(AR219:AR$242)*(AR$64-AR$63)/AR$64*AS218)</f>
        <v>127796.00000000001</v>
      </c>
      <c r="AV218" s="35">
        <f t="shared" si="521"/>
        <v>0</v>
      </c>
      <c r="AW218" s="35">
        <f t="shared" si="522"/>
        <v>291024</v>
      </c>
      <c r="AX218" s="87"/>
      <c r="AY218" s="87">
        <f t="shared" si="523"/>
        <v>0</v>
      </c>
      <c r="AZ218" s="77" t="str">
        <f t="shared" si="524"/>
        <v xml:space="preserve">   </v>
      </c>
      <c r="BA218" s="87">
        <f>IF($A218&gt;'Debt Service'!AY$58, 0, SUM(AY218:AY$242)*AZ218*AY$63/AY$64+SUM(AY219:AY$242)*(AY$64-AY$63)/AY$64*AZ218)</f>
        <v>0</v>
      </c>
      <c r="BB218" s="61"/>
      <c r="BC218" s="87">
        <f t="shared" si="525"/>
        <v>0</v>
      </c>
      <c r="BD218" s="77">
        <f t="shared" si="526"/>
        <v>6.0999999999999999E-2</v>
      </c>
      <c r="BE218" s="87">
        <f>IF($A218&gt;'Debt Service'!BC$58, 0, SUM(BC218:BC$242)*BD218*BC$63/BC$64+SUM(BC219:BC$242)*(BC$64-BC$63)/BC$64*BD218)</f>
        <v>97539</v>
      </c>
      <c r="BF218" s="61"/>
      <c r="BG218" s="87">
        <f t="shared" si="527"/>
        <v>0</v>
      </c>
      <c r="BH218" s="77">
        <f t="shared" si="528"/>
        <v>6.0999999999999999E-2</v>
      </c>
      <c r="BI218" s="87">
        <f>IF($A218&gt;'Debt Service'!BG$58, 0, SUM(BG218:BG$242)*BH218*BG$63/BG$64+SUM(BG219:BG$242)*(BG$64-BG$63)/BG$64*BH218)</f>
        <v>249063</v>
      </c>
      <c r="BJ218" s="61"/>
      <c r="BK218" s="35">
        <f t="shared" si="563"/>
        <v>0</v>
      </c>
      <c r="BL218" s="35">
        <f t="shared" si="564"/>
        <v>346602</v>
      </c>
      <c r="BM218" s="86"/>
      <c r="BN218" s="87">
        <f t="shared" si="529"/>
        <v>0</v>
      </c>
      <c r="BO218" s="77" t="str">
        <f t="shared" si="530"/>
        <v xml:space="preserve">   </v>
      </c>
      <c r="BP218" s="87">
        <f>IF($A218&gt;'Debt Service'!BN$58, 0, SUM(BN218:BN$242)*BO218*BN$63/BN$64+SUM(BN219:BN$242)*(BN$64-BN$63)/BN$64*BO218)</f>
        <v>0</v>
      </c>
      <c r="BQ218" s="77"/>
      <c r="BR218" s="87">
        <f t="shared" si="531"/>
        <v>0</v>
      </c>
      <c r="BS218" s="77">
        <f t="shared" si="532"/>
        <v>5.6799999999999996E-2</v>
      </c>
      <c r="BT218" s="87">
        <f>IF($A218&gt;'Debt Service'!BR$58, 0, SUM(BR218:BR$242)*BS218*BR$63/BR$64+SUM(BR219:BR$242)*(BR$64-BR$63)/BR$64*BS218)</f>
        <v>194710.39999999999</v>
      </c>
      <c r="BU218" s="87"/>
      <c r="BV218" s="35">
        <f t="shared" si="565"/>
        <v>0</v>
      </c>
      <c r="BW218" s="35">
        <f t="shared" si="566"/>
        <v>194710.39999999999</v>
      </c>
      <c r="BX218" s="87"/>
      <c r="BY218" s="87">
        <f t="shared" si="533"/>
        <v>0</v>
      </c>
      <c r="BZ218" s="77" t="str">
        <f t="shared" si="534"/>
        <v xml:space="preserve">   </v>
      </c>
      <c r="CA218" s="87">
        <f>IF($A218&gt;'Debt Service'!BY$58, 0, SUM(BY218:BY$242)*BZ218*BY$63/BY$64+SUM(BY219:BY$242)*(BY$64-BY$63)/BY$64*BZ218)</f>
        <v>0</v>
      </c>
      <c r="CB218" s="87"/>
      <c r="CC218" s="87">
        <f t="shared" si="535"/>
        <v>0</v>
      </c>
      <c r="CD218" s="77" t="str">
        <f t="shared" si="536"/>
        <v xml:space="preserve">   </v>
      </c>
      <c r="CE218" s="87">
        <f>IF(OR($A218&gt;'Debt Service'!CC$58,$A218&lt;CC$51), 0, SUM(CC218:CC$242)*CD218*CC$63/CC$64+SUM(CC219:CC$242)*(CC$64-CC$63)/CC$64*CD218)</f>
        <v>0</v>
      </c>
      <c r="CF218" s="87"/>
      <c r="CG218" s="87">
        <f t="shared" si="537"/>
        <v>0</v>
      </c>
      <c r="CH218" s="77">
        <f t="shared" si="538"/>
        <v>5.6799999999999996E-2</v>
      </c>
      <c r="CI218" s="87">
        <f>IF(OR($A218&gt;'Debt Service'!CG$58,$A218&lt;CG$51), 0, SUM(CG218:CG$242)*CH218*CG$63/CG$64+SUM(CG219:CG$242)*(CG$64-CG$63)/CG$64*CH218)</f>
        <v>180453.59999999998</v>
      </c>
      <c r="CJ218" s="87"/>
      <c r="CK218" s="87">
        <f t="shared" si="539"/>
        <v>0</v>
      </c>
      <c r="CL218" s="77">
        <f t="shared" si="540"/>
        <v>6.0999999999999999E-2</v>
      </c>
      <c r="CM218" s="87">
        <f>IF(OR($A218&gt;'Debt Service'!CK$58,$A218&lt;CK$51), 0, SUM(CK218:CK$242)*CL218*CK$63/CK$64+SUM(CK219:CK$242)*(CK$64-CK$63)/CK$64*CL218)</f>
        <v>198067</v>
      </c>
      <c r="CN218" s="87"/>
      <c r="CO218" s="162">
        <f t="shared" si="541"/>
        <v>0</v>
      </c>
      <c r="CP218" s="87">
        <f t="shared" si="542"/>
        <v>378520.6</v>
      </c>
      <c r="CQ218" s="87"/>
      <c r="CR218" s="87">
        <f t="shared" si="543"/>
        <v>0</v>
      </c>
      <c r="CS218" s="77" t="str">
        <f t="shared" si="544"/>
        <v xml:space="preserve">   </v>
      </c>
      <c r="CT218" s="87">
        <f>IF(OR($A218&gt;'Debt Service'!CR$58,$A218&lt;CR$51), 0, SUM(CR218:CR$242)*CS218*CR$63/CR$64+SUM(CR219:CR$242)*(CR$64-CR$63)/CR$64*CS218)</f>
        <v>0</v>
      </c>
      <c r="CU218" s="87"/>
      <c r="CV218" s="87">
        <f t="shared" si="545"/>
        <v>0</v>
      </c>
      <c r="CW218" s="77">
        <f t="shared" si="546"/>
        <v>6.0999999999999999E-2</v>
      </c>
      <c r="CX218" s="87">
        <f>IF(OR($A218&gt;'Debt Service'!CV$58,$A218&lt;CV$51), 0, SUM(CV218:CV$242)*CW218*CV$63/CV$64+SUM(CV219:CV$242)*(CV$64-CV$63)/CV$64*CW218)</f>
        <v>206119</v>
      </c>
      <c r="CY218" s="87"/>
      <c r="CZ218" s="165">
        <f t="shared" si="547"/>
        <v>0</v>
      </c>
      <c r="DA218" s="165">
        <f t="shared" si="548"/>
        <v>206119</v>
      </c>
      <c r="DB218" s="87"/>
      <c r="DC218" s="87">
        <f t="shared" si="549"/>
        <v>0</v>
      </c>
      <c r="DD218" s="77" t="str">
        <f t="shared" si="550"/>
        <v xml:space="preserve">   </v>
      </c>
      <c r="DE218" s="87">
        <f>IF(OR($A218&gt;DC$191, $A218&lt;DC$51), 0, SUM(DC218:DC$242)*DD218*DC$63/DC$64+SUM(DC219:DC$242)*(DC$64-DC$63)/DC$64*DD218)</f>
        <v>0</v>
      </c>
      <c r="DF218" s="87"/>
      <c r="DG218" s="87">
        <f t="shared" si="551"/>
        <v>0</v>
      </c>
      <c r="DH218" s="77" t="str">
        <f t="shared" si="552"/>
        <v xml:space="preserve">   </v>
      </c>
      <c r="DI218" s="87">
        <f>IF(OR($A218&gt;DG$58, $A218&lt;DG$51), 0, SUM(DG218:DG$242)*DH218*DG$63/DG$64+SUM(DG219:DG$242)*(DG$64-DG$63)/DG$64*DH218)</f>
        <v>0</v>
      </c>
      <c r="DJ218" s="87"/>
      <c r="DK218" s="87">
        <f t="shared" si="553"/>
        <v>0</v>
      </c>
      <c r="DL218" s="77" t="str">
        <f t="shared" si="554"/>
        <v xml:space="preserve">   </v>
      </c>
      <c r="DM218" s="87">
        <f>IF(OR($A218&gt;DK$58, $A218&lt;DK$51), 0, SUM(DK218:DK$242)*DL218*DK$63/DK$64+SUM(DK219:DK$242)*(DK$64-DK$63)/DK$64*DL218)</f>
        <v>0</v>
      </c>
      <c r="DN218" s="87"/>
      <c r="DO218" s="87">
        <f t="shared" si="555"/>
        <v>0</v>
      </c>
      <c r="DP218" s="77" t="str">
        <f t="shared" si="556"/>
        <v xml:space="preserve">   </v>
      </c>
      <c r="DQ218" s="87">
        <f>IF(OR($A218&gt;DO$58, $A218&lt;DO$51), 0, SUM(DO218:DO$242)*DP218*DO$63/DO$64+SUM(DO219:DO$242)*(DO$64-DO$63)/DO$64*DP218)</f>
        <v>0</v>
      </c>
      <c r="DR218" s="87"/>
      <c r="DS218" s="87">
        <f t="shared" si="557"/>
        <v>0</v>
      </c>
      <c r="DT218" s="77" t="str">
        <f t="shared" si="558"/>
        <v xml:space="preserve">   </v>
      </c>
      <c r="DU218" s="87">
        <f>IF(OR($A218&gt;DS$58, $A218&lt;DS$51), 0, SUM(DS218:DS$242)*DT218*DS$63/DS$64+SUM(DS219:DS$242)*(DS$64-DS$63)/DS$64*DT218)</f>
        <v>0</v>
      </c>
      <c r="DV218" s="87"/>
      <c r="DW218" s="165">
        <f t="shared" si="571"/>
        <v>0</v>
      </c>
      <c r="DX218" s="165">
        <f t="shared" si="568"/>
        <v>1416976</v>
      </c>
      <c r="DY218" s="87"/>
      <c r="DZ218" s="53">
        <f t="shared" si="559"/>
        <v>2036</v>
      </c>
      <c r="EA218" s="35">
        <f t="shared" si="560"/>
        <v>0</v>
      </c>
      <c r="EB218" s="35">
        <f t="shared" si="561"/>
        <v>1416976</v>
      </c>
      <c r="EC218" s="35">
        <f t="shared" si="570"/>
        <v>25681000</v>
      </c>
      <c r="ED218" s="143">
        <f t="shared" si="569"/>
        <v>13</v>
      </c>
      <c r="EE218"/>
    </row>
    <row r="219" spans="1:135" s="33" customFormat="1" outlineLevel="1">
      <c r="A219" s="7">
        <f t="shared" si="562"/>
        <v>2037</v>
      </c>
      <c r="B219" s="151">
        <f>Assumptions!B21</f>
        <v>5.3800000000000001E-2</v>
      </c>
      <c r="C219" s="151">
        <f>Assumptions!C21</f>
        <v>5.3800000000000001E-2</v>
      </c>
      <c r="D219" s="151">
        <f>Assumptions!D21</f>
        <v>3.5000000000000003E-2</v>
      </c>
      <c r="E219" s="151">
        <f>Assumptions!E21</f>
        <v>5.2999999999999999E-2</v>
      </c>
      <c r="F219" s="8"/>
      <c r="G219" s="8"/>
      <c r="H219" s="8"/>
      <c r="I219" s="8"/>
      <c r="J219" s="8"/>
      <c r="K219" s="8"/>
      <c r="L219" s="86"/>
      <c r="M219" s="87">
        <f t="shared" si="504"/>
        <v>0</v>
      </c>
      <c r="N219" s="77" t="str">
        <f t="shared" si="505"/>
        <v xml:space="preserve">   </v>
      </c>
      <c r="O219" s="87">
        <f>IF($A219&gt;'Debt Service'!M$58, 0, SUM(M219:M$242)*N219*M$63/M$64+SUM(M220:M$242)*(M$64-M$63)/M$64*N219)</f>
        <v>0</v>
      </c>
      <c r="P219" s="35"/>
      <c r="Q219" s="87">
        <f t="shared" si="506"/>
        <v>0</v>
      </c>
      <c r="R219" s="77" t="str">
        <f t="shared" si="507"/>
        <v xml:space="preserve">   </v>
      </c>
      <c r="S219" s="87">
        <f>IF($A219&gt;'Debt Service'!Q$58, 0, SUM(Q219:Q$242)*R219*Q$63/Q$64+SUM(Q220:Q$242)*(Q$64-Q$63)/Q$64*R219)</f>
        <v>0</v>
      </c>
      <c r="T219" s="35"/>
      <c r="U219" s="35">
        <f t="shared" si="508"/>
        <v>0</v>
      </c>
      <c r="V219" s="35">
        <f t="shared" si="509"/>
        <v>0</v>
      </c>
      <c r="W219" s="87"/>
      <c r="X219" s="87">
        <f t="shared" si="510"/>
        <v>0</v>
      </c>
      <c r="Y219" s="77" t="str">
        <f t="shared" si="511"/>
        <v xml:space="preserve">   </v>
      </c>
      <c r="Z219" s="87">
        <f>IF($A219&gt;'Debt Service'!X$58, 0, SUM(X219:X$242)*Y219*X$63/X$64+SUM(X220:X$242)*(X$64-X$63)/X$64*Y219)</f>
        <v>0</v>
      </c>
      <c r="AA219" s="87"/>
      <c r="AB219" s="87">
        <f t="shared" si="512"/>
        <v>0</v>
      </c>
      <c r="AC219" s="77" t="str">
        <f t="shared" si="513"/>
        <v xml:space="preserve">   </v>
      </c>
      <c r="AD219" s="87">
        <f>IF($A219&gt;'Debt Service'!AB$58, 0, SUM(AB219:AB$242)*AC219*AB$63/AB$64+SUM(AB220:AB$242)*(AB$64-AB$63)/AB$64*AC219)</f>
        <v>0</v>
      </c>
      <c r="AE219" s="87"/>
      <c r="AF219" s="87">
        <f t="shared" si="514"/>
        <v>656000</v>
      </c>
      <c r="AG219" s="77">
        <f t="shared" si="515"/>
        <v>4.3000000000000003E-2</v>
      </c>
      <c r="AH219" s="87">
        <f>IF($A219&gt;'Debt Service'!AF$58, 0, SUM(AF219:AF$242)*AG219*AF$63/AF$64+SUM(AF220:AF$242)*(AF$64-AF$63)/AF$64*AG219)</f>
        <v>14104.000000000002</v>
      </c>
      <c r="AI219" s="35"/>
      <c r="AJ219" s="87">
        <f t="shared" si="516"/>
        <v>0</v>
      </c>
      <c r="AK219" s="77">
        <f t="shared" si="517"/>
        <v>4.3000000000000003E-2</v>
      </c>
      <c r="AL219" s="87">
        <f>IF($A219&gt;'Debt Service'!AJ$58, 0, SUM(AJ219:AJ$242)*AK219*AJ$63/AJ$64+SUM(AJ220:AJ$242)*(AJ$64-AJ$63)/AJ$64*AK219)</f>
        <v>135020</v>
      </c>
      <c r="AM219" s="35"/>
      <c r="AN219" s="87"/>
      <c r="AO219" s="77" t="str">
        <f t="shared" si="518"/>
        <v xml:space="preserve">   </v>
      </c>
      <c r="AP219" s="87">
        <f>IF($A219&gt;'Debt Service'!AN$58, 0, SUM(AN219:AN$242)*AO219*AN$63/AN$64+SUM(AN220:AN$242)*(AN$64-AN$63)/AN$64*AO219)</f>
        <v>0</v>
      </c>
      <c r="AQ219" s="87"/>
      <c r="AR219" s="87">
        <f t="shared" si="519"/>
        <v>2972000</v>
      </c>
      <c r="AS219" s="77">
        <f t="shared" si="520"/>
        <v>4.3000000000000003E-2</v>
      </c>
      <c r="AT219" s="87">
        <f>IF($A219&gt;'Debt Service'!AR$58, 0, SUM(AR219:AR$242)*AS219*AR$63/AR$64+SUM(AR220:AR$242)*(AR$64-AR$63)/AR$64*AS219)</f>
        <v>63898.000000000007</v>
      </c>
      <c r="AV219" s="35">
        <f t="shared" si="521"/>
        <v>3628000</v>
      </c>
      <c r="AW219" s="35">
        <f t="shared" si="522"/>
        <v>213022</v>
      </c>
      <c r="AX219" s="87"/>
      <c r="AY219" s="87">
        <f t="shared" si="523"/>
        <v>0</v>
      </c>
      <c r="AZ219" s="77" t="str">
        <f t="shared" si="524"/>
        <v xml:space="preserve">   </v>
      </c>
      <c r="BA219" s="87">
        <f>IF($A219&gt;'Debt Service'!AY$58, 0, SUM(AY219:AY$242)*AZ219*AY$63/AY$64+SUM(AY220:AY$242)*(AY$64-AY$63)/AY$64*AZ219)</f>
        <v>0</v>
      </c>
      <c r="BB219" s="61"/>
      <c r="BC219" s="87">
        <f t="shared" si="525"/>
        <v>0</v>
      </c>
      <c r="BD219" s="77">
        <f t="shared" si="526"/>
        <v>6.0999999999999999E-2</v>
      </c>
      <c r="BE219" s="87">
        <f>IF($A219&gt;'Debt Service'!BC$58, 0, SUM(BC219:BC$242)*BD219*BC$63/BC$64+SUM(BC220:BC$242)*(BC$64-BC$63)/BC$64*BD219)</f>
        <v>97539</v>
      </c>
      <c r="BF219" s="61"/>
      <c r="BG219" s="87">
        <f t="shared" si="527"/>
        <v>0</v>
      </c>
      <c r="BH219" s="77">
        <f t="shared" si="528"/>
        <v>6.0999999999999999E-2</v>
      </c>
      <c r="BI219" s="87">
        <f>IF($A219&gt;'Debt Service'!BG$58, 0, SUM(BG219:BG$242)*BH219*BG$63/BG$64+SUM(BG220:BG$242)*(BG$64-BG$63)/BG$64*BH219)</f>
        <v>249063</v>
      </c>
      <c r="BJ219" s="61"/>
      <c r="BK219" s="35">
        <f t="shared" si="563"/>
        <v>0</v>
      </c>
      <c r="BL219" s="35">
        <f t="shared" si="564"/>
        <v>346602</v>
      </c>
      <c r="BM219" s="86"/>
      <c r="BN219" s="87">
        <f t="shared" si="529"/>
        <v>0</v>
      </c>
      <c r="BO219" s="77" t="str">
        <f t="shared" si="530"/>
        <v xml:space="preserve">   </v>
      </c>
      <c r="BP219" s="87">
        <f>IF($A219&gt;'Debt Service'!BN$58, 0, SUM(BN219:BN$242)*BO219*BN$63/BN$64+SUM(BN220:BN$242)*(BN$64-BN$63)/BN$64*BO219)</f>
        <v>0</v>
      </c>
      <c r="BQ219" s="77"/>
      <c r="BR219" s="87">
        <f t="shared" si="531"/>
        <v>0</v>
      </c>
      <c r="BS219" s="77">
        <f t="shared" si="532"/>
        <v>5.6799999999999996E-2</v>
      </c>
      <c r="BT219" s="87">
        <f>IF($A219&gt;'Debt Service'!BR$58, 0, SUM(BR219:BR$242)*BS219*BR$63/BR$64+SUM(BR220:BR$242)*(BR$64-BR$63)/BR$64*BS219)</f>
        <v>194710.39999999999</v>
      </c>
      <c r="BU219" s="87"/>
      <c r="BV219" s="35">
        <f t="shared" si="565"/>
        <v>0</v>
      </c>
      <c r="BW219" s="35">
        <f t="shared" si="566"/>
        <v>194710.39999999999</v>
      </c>
      <c r="BX219" s="87"/>
      <c r="BY219" s="87">
        <f t="shared" si="533"/>
        <v>0</v>
      </c>
      <c r="BZ219" s="77" t="str">
        <f t="shared" si="534"/>
        <v xml:space="preserve">   </v>
      </c>
      <c r="CA219" s="87">
        <f>IF($A219&gt;'Debt Service'!BY$58, 0, SUM(BY219:BY$242)*BZ219*BY$63/BY$64+SUM(BY220:BY$242)*(BY$64-BY$63)/BY$64*BZ219)</f>
        <v>0</v>
      </c>
      <c r="CB219" s="87"/>
      <c r="CC219" s="87">
        <f t="shared" si="535"/>
        <v>0</v>
      </c>
      <c r="CD219" s="77" t="str">
        <f t="shared" si="536"/>
        <v xml:space="preserve">   </v>
      </c>
      <c r="CE219" s="87">
        <f>IF(OR($A219&gt;'Debt Service'!CC$58,$A219&lt;CC$51), 0, SUM(CC219:CC$242)*CD219*CC$63/CC$64+SUM(CC220:CC$242)*(CC$64-CC$63)/CC$64*CD219)</f>
        <v>0</v>
      </c>
      <c r="CF219" s="87"/>
      <c r="CG219" s="87">
        <f t="shared" si="537"/>
        <v>0</v>
      </c>
      <c r="CH219" s="77">
        <f t="shared" si="538"/>
        <v>5.6799999999999996E-2</v>
      </c>
      <c r="CI219" s="87">
        <f>IF(OR($A219&gt;'Debt Service'!CG$58,$A219&lt;CG$51), 0, SUM(CG219:CG$242)*CH219*CG$63/CG$64+SUM(CG220:CG$242)*(CG$64-CG$63)/CG$64*CH219)</f>
        <v>180453.59999999998</v>
      </c>
      <c r="CJ219" s="87"/>
      <c r="CK219" s="87">
        <f t="shared" si="539"/>
        <v>0</v>
      </c>
      <c r="CL219" s="77">
        <f t="shared" si="540"/>
        <v>6.0999999999999999E-2</v>
      </c>
      <c r="CM219" s="87">
        <f>IF(OR($A219&gt;'Debt Service'!CK$58,$A219&lt;CK$51), 0, SUM(CK219:CK$242)*CL219*CK$63/CK$64+SUM(CK220:CK$242)*(CK$64-CK$63)/CK$64*CL219)</f>
        <v>198067</v>
      </c>
      <c r="CN219" s="87"/>
      <c r="CO219" s="162">
        <f t="shared" si="541"/>
        <v>0</v>
      </c>
      <c r="CP219" s="87">
        <f t="shared" si="542"/>
        <v>378520.6</v>
      </c>
      <c r="CQ219" s="87"/>
      <c r="CR219" s="87">
        <f t="shared" si="543"/>
        <v>0</v>
      </c>
      <c r="CS219" s="77" t="str">
        <f t="shared" si="544"/>
        <v xml:space="preserve">   </v>
      </c>
      <c r="CT219" s="87">
        <f>IF(OR($A219&gt;'Debt Service'!CR$58,$A219&lt;CR$51), 0, SUM(CR219:CR$242)*CS219*CR$63/CR$64+SUM(CR220:CR$242)*(CR$64-CR$63)/CR$64*CS219)</f>
        <v>0</v>
      </c>
      <c r="CU219" s="87"/>
      <c r="CV219" s="87">
        <f t="shared" si="545"/>
        <v>0</v>
      </c>
      <c r="CW219" s="77">
        <f t="shared" si="546"/>
        <v>6.0999999999999999E-2</v>
      </c>
      <c r="CX219" s="87">
        <f>IF(OR($A219&gt;'Debt Service'!CV$58,$A219&lt;CV$51), 0, SUM(CV219:CV$242)*CW219*CV$63/CV$64+SUM(CV220:CV$242)*(CV$64-CV$63)/CV$64*CW219)</f>
        <v>206119</v>
      </c>
      <c r="CY219" s="87"/>
      <c r="CZ219" s="165">
        <f t="shared" si="547"/>
        <v>0</v>
      </c>
      <c r="DA219" s="165">
        <f t="shared" si="548"/>
        <v>206119</v>
      </c>
      <c r="DB219" s="87"/>
      <c r="DC219" s="87">
        <f t="shared" si="549"/>
        <v>0</v>
      </c>
      <c r="DD219" s="77" t="str">
        <f t="shared" si="550"/>
        <v xml:space="preserve">   </v>
      </c>
      <c r="DE219" s="87">
        <f>IF(OR($A219&gt;DC$191, $A219&lt;DC$51), 0, SUM(DC219:DC$242)*DD219*DC$63/DC$64+SUM(DC220:DC$242)*(DC$64-DC$63)/DC$64*DD219)</f>
        <v>0</v>
      </c>
      <c r="DF219" s="87"/>
      <c r="DG219" s="87">
        <f t="shared" si="551"/>
        <v>0</v>
      </c>
      <c r="DH219" s="77" t="str">
        <f t="shared" si="552"/>
        <v xml:space="preserve">   </v>
      </c>
      <c r="DI219" s="87">
        <f>IF(OR($A219&gt;DG$58, $A219&lt;DG$51), 0, SUM(DG219:DG$242)*DH219*DG$63/DG$64+SUM(DG220:DG$242)*(DG$64-DG$63)/DG$64*DH219)</f>
        <v>0</v>
      </c>
      <c r="DJ219" s="87"/>
      <c r="DK219" s="87">
        <f t="shared" si="553"/>
        <v>0</v>
      </c>
      <c r="DL219" s="77" t="str">
        <f t="shared" si="554"/>
        <v xml:space="preserve">   </v>
      </c>
      <c r="DM219" s="87">
        <f>IF(OR($A219&gt;DK$58, $A219&lt;DK$51), 0, SUM(DK219:DK$242)*DL219*DK$63/DK$64+SUM(DK220:DK$242)*(DK$64-DK$63)/DK$64*DL219)</f>
        <v>0</v>
      </c>
      <c r="DN219" s="87"/>
      <c r="DO219" s="87">
        <f t="shared" si="555"/>
        <v>0</v>
      </c>
      <c r="DP219" s="77" t="str">
        <f t="shared" si="556"/>
        <v xml:space="preserve">   </v>
      </c>
      <c r="DQ219" s="87">
        <f>IF(OR($A219&gt;DO$58, $A219&lt;DO$51), 0, SUM(DO219:DO$242)*DP219*DO$63/DO$64+SUM(DO220:DO$242)*(DO$64-DO$63)/DO$64*DP219)</f>
        <v>0</v>
      </c>
      <c r="DR219" s="87"/>
      <c r="DS219" s="87">
        <f t="shared" si="557"/>
        <v>0</v>
      </c>
      <c r="DT219" s="77" t="str">
        <f t="shared" si="558"/>
        <v xml:space="preserve">   </v>
      </c>
      <c r="DU219" s="87">
        <f>IF(OR($A219&gt;DS$58, $A219&lt;DS$51), 0, SUM(DS219:DS$242)*DT219*DS$63/DS$64+SUM(DS220:DS$242)*(DS$64-DS$63)/DS$64*DT219)</f>
        <v>0</v>
      </c>
      <c r="DV219" s="87"/>
      <c r="DW219" s="165">
        <f t="shared" si="571"/>
        <v>3628000</v>
      </c>
      <c r="DX219" s="165">
        <f t="shared" si="568"/>
        <v>1338974</v>
      </c>
      <c r="DY219" s="87"/>
      <c r="DZ219" s="53">
        <f t="shared" si="559"/>
        <v>2037</v>
      </c>
      <c r="EA219" s="35">
        <f t="shared" si="560"/>
        <v>3628000</v>
      </c>
      <c r="EB219" s="35">
        <f t="shared" si="561"/>
        <v>1338974</v>
      </c>
      <c r="EC219" s="35">
        <f t="shared" si="570"/>
        <v>22053000</v>
      </c>
      <c r="ED219" s="143">
        <f t="shared" si="569"/>
        <v>14</v>
      </c>
      <c r="EE219"/>
    </row>
    <row r="220" spans="1:135" s="33" customFormat="1" outlineLevel="1">
      <c r="A220" s="7">
        <f t="shared" si="562"/>
        <v>2038</v>
      </c>
      <c r="B220" s="151">
        <f>Assumptions!B22</f>
        <v>5.3800000000000001E-2</v>
      </c>
      <c r="C220" s="151">
        <f>Assumptions!C22</f>
        <v>5.3800000000000001E-2</v>
      </c>
      <c r="D220" s="151">
        <f>Assumptions!D22</f>
        <v>3.5000000000000003E-2</v>
      </c>
      <c r="E220" s="151">
        <f>Assumptions!E22</f>
        <v>5.2999999999999999E-2</v>
      </c>
      <c r="F220" s="8"/>
      <c r="G220" s="8"/>
      <c r="H220" s="8"/>
      <c r="I220" s="8"/>
      <c r="J220" s="8"/>
      <c r="K220" s="8"/>
      <c r="L220" s="8"/>
      <c r="M220" s="87">
        <f t="shared" si="504"/>
        <v>0</v>
      </c>
      <c r="N220" s="77" t="str">
        <f t="shared" si="505"/>
        <v xml:space="preserve">   </v>
      </c>
      <c r="O220" s="87">
        <f>IF($A220&gt;'Debt Service'!M$58, 0, SUM(M220:M$242)*N220*M$63/M$64+SUM(M221:M$242)*(M$64-M$63)/M$64*N220)</f>
        <v>0</v>
      </c>
      <c r="P220" s="35"/>
      <c r="Q220" s="87">
        <f t="shared" si="506"/>
        <v>0</v>
      </c>
      <c r="R220" s="77" t="str">
        <f t="shared" si="507"/>
        <v xml:space="preserve">   </v>
      </c>
      <c r="S220" s="87">
        <f>IF($A220&gt;'Debt Service'!Q$58, 0, SUM(Q220:Q$242)*R220*Q$63/Q$64+SUM(Q221:Q$242)*(Q$64-Q$63)/Q$64*R220)</f>
        <v>0</v>
      </c>
      <c r="T220" s="35"/>
      <c r="U220" s="35">
        <f t="shared" si="508"/>
        <v>0</v>
      </c>
      <c r="V220" s="35">
        <f t="shared" si="509"/>
        <v>0</v>
      </c>
      <c r="W220" s="35"/>
      <c r="X220" s="87">
        <f t="shared" si="510"/>
        <v>0</v>
      </c>
      <c r="Y220" s="77" t="str">
        <f t="shared" si="511"/>
        <v xml:space="preserve">   </v>
      </c>
      <c r="Z220" s="87">
        <f>IF($A220&gt;'Debt Service'!X$58, 0, SUM(X220:X$242)*Y220*X$63/X$64+SUM(X221:X$242)*(X$64-X$63)/X$64*Y220)</f>
        <v>0</v>
      </c>
      <c r="AA220" s="87"/>
      <c r="AB220" s="87">
        <f t="shared" si="512"/>
        <v>0</v>
      </c>
      <c r="AC220" s="77" t="str">
        <f t="shared" si="513"/>
        <v xml:space="preserve">   </v>
      </c>
      <c r="AD220" s="87">
        <f>IF($A220&gt;'Debt Service'!AB$58, 0, SUM(AB220:AB$242)*AC220*AB$63/AB$64+SUM(AB221:AB$242)*(AB$64-AB$63)/AB$64*AC220)</f>
        <v>0</v>
      </c>
      <c r="AE220" s="35"/>
      <c r="AF220" s="87">
        <f t="shared" si="514"/>
        <v>0</v>
      </c>
      <c r="AG220" s="77" t="str">
        <f t="shared" si="515"/>
        <v xml:space="preserve">   </v>
      </c>
      <c r="AH220" s="87">
        <f>IF($A220&gt;'Debt Service'!AF$58, 0, SUM(AF220:AF$242)*AG220*AF$63/AF$64+SUM(AF221:AF$242)*(AF$64-AF$63)/AF$64*AG220)</f>
        <v>0</v>
      </c>
      <c r="AI220" s="35"/>
      <c r="AJ220" s="87">
        <f t="shared" si="516"/>
        <v>0</v>
      </c>
      <c r="AK220" s="77">
        <f t="shared" si="517"/>
        <v>4.3000000000000003E-2</v>
      </c>
      <c r="AL220" s="87">
        <f>IF($A220&gt;'Debt Service'!AJ$58, 0, SUM(AJ220:AJ$242)*AK220*AJ$63/AJ$64+SUM(AJ221:AJ$242)*(AJ$64-AJ$63)/AJ$64*AK220)</f>
        <v>135020</v>
      </c>
      <c r="AM220" s="35"/>
      <c r="AN220" s="87"/>
      <c r="AO220" s="77" t="str">
        <f t="shared" si="518"/>
        <v xml:space="preserve">   </v>
      </c>
      <c r="AP220" s="87">
        <f>IF($A220&gt;'Debt Service'!AN$58, 0, SUM(AN220:AN$242)*AO220*AN$63/AN$64+SUM(AN221:AN$242)*(AN$64-AN$63)/AN$64*AO220)</f>
        <v>0</v>
      </c>
      <c r="AQ220" s="35"/>
      <c r="AR220" s="87">
        <f t="shared" si="519"/>
        <v>0</v>
      </c>
      <c r="AS220" s="77" t="str">
        <f t="shared" si="520"/>
        <v xml:space="preserve">   </v>
      </c>
      <c r="AT220" s="87">
        <f>IF($A220&gt;'Debt Service'!AR$58, 0, SUM(AR220:AR$242)*AS220*AR$63/AR$64+SUM(AR221:AR$242)*(AR$64-AR$63)/AR$64*AS220)</f>
        <v>0</v>
      </c>
      <c r="AV220" s="35">
        <f t="shared" si="521"/>
        <v>0</v>
      </c>
      <c r="AW220" s="35">
        <f t="shared" si="522"/>
        <v>135020</v>
      </c>
      <c r="AX220" s="35"/>
      <c r="AY220" s="87">
        <f t="shared" si="523"/>
        <v>0</v>
      </c>
      <c r="AZ220" s="77" t="str">
        <f t="shared" si="524"/>
        <v xml:space="preserve">   </v>
      </c>
      <c r="BA220" s="87">
        <f>IF($A220&gt;'Debt Service'!AY$58, 0, SUM(AY220:AY$242)*AZ220*AY$63/AY$64+SUM(AY221:AY$242)*(AY$64-AY$63)/AY$64*AZ220)</f>
        <v>0</v>
      </c>
      <c r="BB220" s="61"/>
      <c r="BC220" s="87">
        <f t="shared" si="525"/>
        <v>0</v>
      </c>
      <c r="BD220" s="77">
        <f t="shared" si="526"/>
        <v>6.0999999999999999E-2</v>
      </c>
      <c r="BE220" s="87">
        <f>IF($A220&gt;'Debt Service'!BC$58, 0, SUM(BC220:BC$242)*BD220*BC$63/BC$64+SUM(BC221:BC$242)*(BC$64-BC$63)/BC$64*BD220)</f>
        <v>97539</v>
      </c>
      <c r="BF220" s="61"/>
      <c r="BG220" s="87">
        <f t="shared" si="527"/>
        <v>0</v>
      </c>
      <c r="BH220" s="77">
        <f t="shared" si="528"/>
        <v>6.0999999999999999E-2</v>
      </c>
      <c r="BI220" s="87">
        <f>IF($A220&gt;'Debt Service'!BG$58, 0, SUM(BG220:BG$242)*BH220*BG$63/BG$64+SUM(BG221:BG$242)*(BG$64-BG$63)/BG$64*BH220)</f>
        <v>249063</v>
      </c>
      <c r="BJ220" s="61"/>
      <c r="BK220" s="35">
        <f t="shared" si="563"/>
        <v>0</v>
      </c>
      <c r="BL220" s="35">
        <f t="shared" si="564"/>
        <v>346602</v>
      </c>
      <c r="BM220" s="8"/>
      <c r="BN220" s="87">
        <f t="shared" si="529"/>
        <v>0</v>
      </c>
      <c r="BO220" s="77" t="str">
        <f t="shared" si="530"/>
        <v xml:space="preserve">   </v>
      </c>
      <c r="BP220" s="87">
        <f>IF($A220&gt;'Debt Service'!BN$58, 0, SUM(BN220:BN$242)*BO220*BN$63/BN$64+SUM(BN221:BN$242)*(BN$64-BN$63)/BN$64*BO220)</f>
        <v>0</v>
      </c>
      <c r="BQ220" s="77"/>
      <c r="BR220" s="87">
        <f t="shared" si="531"/>
        <v>0</v>
      </c>
      <c r="BS220" s="77">
        <f t="shared" si="532"/>
        <v>5.6799999999999996E-2</v>
      </c>
      <c r="BT220" s="87">
        <f>IF($A220&gt;'Debt Service'!BR$58, 0, SUM(BR220:BR$242)*BS220*BR$63/BR$64+SUM(BR221:BR$242)*(BR$64-BR$63)/BR$64*BS220)</f>
        <v>194710.39999999999</v>
      </c>
      <c r="BU220" s="87"/>
      <c r="BV220" s="35">
        <f t="shared" si="565"/>
        <v>0</v>
      </c>
      <c r="BW220" s="35">
        <f t="shared" si="566"/>
        <v>194710.39999999999</v>
      </c>
      <c r="BX220" s="87"/>
      <c r="BY220" s="87">
        <f t="shared" si="533"/>
        <v>0</v>
      </c>
      <c r="BZ220" s="77" t="str">
        <f t="shared" si="534"/>
        <v xml:space="preserve">   </v>
      </c>
      <c r="CA220" s="87">
        <f>IF($A220&gt;'Debt Service'!BY$58, 0, SUM(BY220:BY$242)*BZ220*BY$63/BY$64+SUM(BY221:BY$242)*(BY$64-BY$63)/BY$64*BZ220)</f>
        <v>0</v>
      </c>
      <c r="CB220" s="87"/>
      <c r="CC220" s="87">
        <f t="shared" si="535"/>
        <v>0</v>
      </c>
      <c r="CD220" s="77" t="str">
        <f t="shared" si="536"/>
        <v xml:space="preserve">   </v>
      </c>
      <c r="CE220" s="87">
        <f>IF(OR($A220&gt;'Debt Service'!CC$58,$A220&lt;CC$51), 0, SUM(CC220:CC$242)*CD220*CC$63/CC$64+SUM(CC221:CC$242)*(CC$64-CC$63)/CC$64*CD220)</f>
        <v>0</v>
      </c>
      <c r="CF220" s="87"/>
      <c r="CG220" s="87">
        <f t="shared" si="537"/>
        <v>0</v>
      </c>
      <c r="CH220" s="77">
        <f t="shared" si="538"/>
        <v>5.6799999999999996E-2</v>
      </c>
      <c r="CI220" s="87">
        <f>IF(OR($A220&gt;'Debt Service'!CG$58,$A220&lt;CG$51), 0, SUM(CG220:CG$242)*CH220*CG$63/CG$64+SUM(CG221:CG$242)*(CG$64-CG$63)/CG$64*CH220)</f>
        <v>180453.59999999998</v>
      </c>
      <c r="CJ220" s="87"/>
      <c r="CK220" s="87">
        <f t="shared" si="539"/>
        <v>0</v>
      </c>
      <c r="CL220" s="77">
        <f t="shared" si="540"/>
        <v>6.0999999999999999E-2</v>
      </c>
      <c r="CM220" s="87">
        <f>IF(OR($A220&gt;'Debt Service'!CK$58,$A220&lt;CK$51), 0, SUM(CK220:CK$242)*CL220*CK$63/CK$64+SUM(CK221:CK$242)*(CK$64-CK$63)/CK$64*CL220)</f>
        <v>198067</v>
      </c>
      <c r="CN220" s="87"/>
      <c r="CO220" s="162">
        <f t="shared" si="541"/>
        <v>0</v>
      </c>
      <c r="CP220" s="87">
        <f t="shared" si="542"/>
        <v>378520.6</v>
      </c>
      <c r="CQ220" s="87"/>
      <c r="CR220" s="87">
        <f t="shared" si="543"/>
        <v>0</v>
      </c>
      <c r="CS220" s="77" t="str">
        <f t="shared" si="544"/>
        <v xml:space="preserve">   </v>
      </c>
      <c r="CT220" s="87">
        <f>IF(OR($A220&gt;'Debt Service'!CR$58,$A220&lt;CR$51), 0, SUM(CR220:CR$242)*CS220*CR$63/CR$64+SUM(CR221:CR$242)*(CR$64-CR$63)/CR$64*CS220)</f>
        <v>0</v>
      </c>
      <c r="CU220" s="87"/>
      <c r="CV220" s="87">
        <f t="shared" si="545"/>
        <v>0</v>
      </c>
      <c r="CW220" s="77">
        <f t="shared" si="546"/>
        <v>6.0999999999999999E-2</v>
      </c>
      <c r="CX220" s="87">
        <f>IF(OR($A220&gt;'Debt Service'!CV$58,$A220&lt;CV$51), 0, SUM(CV220:CV$242)*CW220*CV$63/CV$64+SUM(CV221:CV$242)*(CV$64-CV$63)/CV$64*CW220)</f>
        <v>206119</v>
      </c>
      <c r="CY220" s="87"/>
      <c r="CZ220" s="165">
        <f t="shared" si="547"/>
        <v>0</v>
      </c>
      <c r="DA220" s="165">
        <f t="shared" si="548"/>
        <v>206119</v>
      </c>
      <c r="DB220" s="87"/>
      <c r="DC220" s="87">
        <f t="shared" si="549"/>
        <v>0</v>
      </c>
      <c r="DD220" s="77" t="str">
        <f t="shared" si="550"/>
        <v xml:space="preserve">   </v>
      </c>
      <c r="DE220" s="87">
        <f>IF(OR($A220&gt;DC$191, $A220&lt;DC$51), 0, SUM(DC220:DC$242)*DD220*DC$63/DC$64+SUM(DC221:DC$242)*(DC$64-DC$63)/DC$64*DD220)</f>
        <v>0</v>
      </c>
      <c r="DF220" s="87"/>
      <c r="DG220" s="87">
        <f t="shared" si="551"/>
        <v>0</v>
      </c>
      <c r="DH220" s="77" t="str">
        <f t="shared" si="552"/>
        <v xml:space="preserve">   </v>
      </c>
      <c r="DI220" s="87">
        <f>IF(OR($A220&gt;DG$58, $A220&lt;DG$51), 0, SUM(DG220:DG$242)*DH220*DG$63/DG$64+SUM(DG221:DG$242)*(DG$64-DG$63)/DG$64*DH220)</f>
        <v>0</v>
      </c>
      <c r="DJ220" s="87"/>
      <c r="DK220" s="87">
        <f t="shared" si="553"/>
        <v>0</v>
      </c>
      <c r="DL220" s="77" t="str">
        <f t="shared" si="554"/>
        <v xml:space="preserve">   </v>
      </c>
      <c r="DM220" s="87">
        <f>IF(OR($A220&gt;DK$58, $A220&lt;DK$51), 0, SUM(DK220:DK$242)*DL220*DK$63/DK$64+SUM(DK221:DK$242)*(DK$64-DK$63)/DK$64*DL220)</f>
        <v>0</v>
      </c>
      <c r="DN220" s="87"/>
      <c r="DO220" s="87">
        <f t="shared" si="555"/>
        <v>0</v>
      </c>
      <c r="DP220" s="77" t="str">
        <f t="shared" si="556"/>
        <v xml:space="preserve">   </v>
      </c>
      <c r="DQ220" s="87">
        <f>IF(OR($A220&gt;DO$58, $A220&lt;DO$51), 0, SUM(DO220:DO$242)*DP220*DO$63/DO$64+SUM(DO221:DO$242)*(DO$64-DO$63)/DO$64*DP220)</f>
        <v>0</v>
      </c>
      <c r="DR220" s="87"/>
      <c r="DS220" s="87">
        <f t="shared" si="557"/>
        <v>0</v>
      </c>
      <c r="DT220" s="77" t="str">
        <f t="shared" si="558"/>
        <v xml:space="preserve">   </v>
      </c>
      <c r="DU220" s="87">
        <f>IF(OR($A220&gt;DS$58, $A220&lt;DS$51), 0, SUM(DS220:DS$242)*DT220*DS$63/DS$64+SUM(DS221:DS$242)*(DS$64-DS$63)/DS$64*DT220)</f>
        <v>0</v>
      </c>
      <c r="DV220" s="87"/>
      <c r="DW220" s="165">
        <f t="shared" si="571"/>
        <v>0</v>
      </c>
      <c r="DX220" s="165">
        <f t="shared" si="568"/>
        <v>1260972</v>
      </c>
      <c r="DY220" s="87"/>
      <c r="DZ220" s="53">
        <f t="shared" si="559"/>
        <v>2038</v>
      </c>
      <c r="EA220" s="35">
        <f t="shared" si="560"/>
        <v>0</v>
      </c>
      <c r="EB220" s="35">
        <f t="shared" si="561"/>
        <v>1260972</v>
      </c>
      <c r="EC220" s="35">
        <f t="shared" si="570"/>
        <v>22053000</v>
      </c>
      <c r="ED220" s="143">
        <f t="shared" si="569"/>
        <v>15</v>
      </c>
      <c r="EE220"/>
    </row>
    <row r="221" spans="1:135" s="33" customFormat="1" outlineLevel="1">
      <c r="A221" s="7">
        <f t="shared" si="562"/>
        <v>2039</v>
      </c>
      <c r="B221" s="151">
        <f>Assumptions!B23</f>
        <v>5.3800000000000001E-2</v>
      </c>
      <c r="C221" s="151">
        <f>Assumptions!C23</f>
        <v>5.3800000000000001E-2</v>
      </c>
      <c r="D221" s="151">
        <f>Assumptions!D23</f>
        <v>3.5000000000000003E-2</v>
      </c>
      <c r="E221" s="151">
        <f>Assumptions!E23</f>
        <v>5.2999999999999999E-2</v>
      </c>
      <c r="F221" s="8"/>
      <c r="G221" s="8"/>
      <c r="H221" s="8"/>
      <c r="I221" s="8"/>
      <c r="J221" s="8"/>
      <c r="K221" s="8"/>
      <c r="L221" s="8"/>
      <c r="M221" s="87">
        <f t="shared" si="504"/>
        <v>0</v>
      </c>
      <c r="N221" s="77" t="str">
        <f t="shared" si="505"/>
        <v xml:space="preserve">   </v>
      </c>
      <c r="O221" s="87">
        <f>IF($A221&gt;'Debt Service'!M$58, 0, SUM(M221:M$242)*N221*M$63/M$64+SUM(M222:M$242)*(M$64-M$63)/M$64*N221)</f>
        <v>0</v>
      </c>
      <c r="P221" s="35"/>
      <c r="Q221" s="87">
        <f t="shared" si="506"/>
        <v>0</v>
      </c>
      <c r="R221" s="77" t="str">
        <f t="shared" si="507"/>
        <v xml:space="preserve">   </v>
      </c>
      <c r="S221" s="87">
        <f>IF($A221&gt;'Debt Service'!Q$58, 0, SUM(Q221:Q$242)*R221*Q$63/Q$64+SUM(Q222:Q$242)*(Q$64-Q$63)/Q$64*R221)</f>
        <v>0</v>
      </c>
      <c r="T221" s="35"/>
      <c r="U221" s="35">
        <f t="shared" si="508"/>
        <v>0</v>
      </c>
      <c r="V221" s="35">
        <f t="shared" si="509"/>
        <v>0</v>
      </c>
      <c r="W221" s="38"/>
      <c r="X221" s="87">
        <f t="shared" si="510"/>
        <v>0</v>
      </c>
      <c r="Y221" s="77" t="str">
        <f t="shared" si="511"/>
        <v xml:space="preserve">   </v>
      </c>
      <c r="Z221" s="87">
        <f>IF($A221&gt;'Debt Service'!X$58, 0, SUM(X221:X$242)*Y221*X$63/X$64+SUM(X222:X$242)*(X$64-X$63)/X$64*Y221)</f>
        <v>0</v>
      </c>
      <c r="AA221" s="87"/>
      <c r="AB221" s="87">
        <f t="shared" si="512"/>
        <v>0</v>
      </c>
      <c r="AC221" s="77" t="str">
        <f t="shared" si="513"/>
        <v xml:space="preserve">   </v>
      </c>
      <c r="AD221" s="87">
        <f>IF($A221&gt;'Debt Service'!AB$58, 0, SUM(AB221:AB$242)*AC221*AB$63/AB$64+SUM(AB222:AB$242)*(AB$64-AB$63)/AB$64*AC221)</f>
        <v>0</v>
      </c>
      <c r="AE221" s="35"/>
      <c r="AF221" s="87">
        <f t="shared" si="514"/>
        <v>0</v>
      </c>
      <c r="AG221" s="77" t="str">
        <f t="shared" si="515"/>
        <v xml:space="preserve">   </v>
      </c>
      <c r="AH221" s="87">
        <f>IF($A221&gt;'Debt Service'!AF$58, 0, SUM(AF221:AF$242)*AG221*AF$63/AF$64+SUM(AF222:AF$242)*(AF$64-AF$63)/AF$64*AG221)</f>
        <v>0</v>
      </c>
      <c r="AI221" s="35"/>
      <c r="AJ221" s="87">
        <f t="shared" si="516"/>
        <v>0</v>
      </c>
      <c r="AK221" s="77">
        <f t="shared" si="517"/>
        <v>4.3000000000000003E-2</v>
      </c>
      <c r="AL221" s="87">
        <f>IF($A221&gt;'Debt Service'!AJ$58, 0, SUM(AJ221:AJ$242)*AK221*AJ$63/AJ$64+SUM(AJ222:AJ$242)*(AJ$64-AJ$63)/AJ$64*AK221)</f>
        <v>135020</v>
      </c>
      <c r="AM221" s="35"/>
      <c r="AN221" s="87"/>
      <c r="AO221" s="77" t="str">
        <f t="shared" si="518"/>
        <v xml:space="preserve">   </v>
      </c>
      <c r="AP221" s="87">
        <f>IF($A221&gt;'Debt Service'!AN$58, 0, SUM(AN221:AN$242)*AO221*AN$63/AN$64+SUM(AN222:AN$242)*(AN$64-AN$63)/AN$64*AO221)</f>
        <v>0</v>
      </c>
      <c r="AQ221" s="35"/>
      <c r="AR221" s="87">
        <f t="shared" si="519"/>
        <v>0</v>
      </c>
      <c r="AS221" s="77" t="str">
        <f t="shared" si="520"/>
        <v xml:space="preserve">   </v>
      </c>
      <c r="AT221" s="87">
        <f>IF($A221&gt;'Debt Service'!AR$58, 0, SUM(AR221:AR$242)*AS221*AR$63/AR$64+SUM(AR222:AR$242)*(AR$64-AR$63)/AR$64*AS221)</f>
        <v>0</v>
      </c>
      <c r="AV221" s="35">
        <f t="shared" si="521"/>
        <v>0</v>
      </c>
      <c r="AW221" s="35">
        <f t="shared" si="522"/>
        <v>135020</v>
      </c>
      <c r="AX221" s="35"/>
      <c r="AY221" s="87">
        <f t="shared" si="523"/>
        <v>0</v>
      </c>
      <c r="AZ221" s="77" t="str">
        <f t="shared" si="524"/>
        <v xml:space="preserve">   </v>
      </c>
      <c r="BA221" s="87">
        <f>IF($A221&gt;'Debt Service'!AY$58, 0, SUM(AY221:AY$242)*AZ221*AY$63/AY$64+SUM(AY222:AY$242)*(AY$64-AY$63)/AY$64*AZ221)</f>
        <v>0</v>
      </c>
      <c r="BB221" s="61"/>
      <c r="BC221" s="87">
        <f t="shared" si="525"/>
        <v>0</v>
      </c>
      <c r="BD221" s="77">
        <f t="shared" si="526"/>
        <v>6.0999999999999999E-2</v>
      </c>
      <c r="BE221" s="87">
        <f>IF($A221&gt;'Debt Service'!BC$58, 0, SUM(BC221:BC$242)*BD221*BC$63/BC$64+SUM(BC222:BC$242)*(BC$64-BC$63)/BC$64*BD221)</f>
        <v>97539</v>
      </c>
      <c r="BF221" s="61"/>
      <c r="BG221" s="87">
        <f t="shared" si="527"/>
        <v>0</v>
      </c>
      <c r="BH221" s="77">
        <f t="shared" si="528"/>
        <v>6.0999999999999999E-2</v>
      </c>
      <c r="BI221" s="87">
        <f>IF($A221&gt;'Debt Service'!BG$58, 0, SUM(BG221:BG$242)*BH221*BG$63/BG$64+SUM(BG222:BG$242)*(BG$64-BG$63)/BG$64*BH221)</f>
        <v>249063</v>
      </c>
      <c r="BJ221" s="61"/>
      <c r="BK221" s="35">
        <f t="shared" si="563"/>
        <v>0</v>
      </c>
      <c r="BL221" s="35">
        <f t="shared" si="564"/>
        <v>346602</v>
      </c>
      <c r="BM221" s="8"/>
      <c r="BN221" s="87">
        <f t="shared" si="529"/>
        <v>0</v>
      </c>
      <c r="BO221" s="77" t="str">
        <f t="shared" si="530"/>
        <v xml:space="preserve">   </v>
      </c>
      <c r="BP221" s="87">
        <f>IF($A221&gt;'Debt Service'!BN$58, 0, SUM(BN221:BN$242)*BO221*BN$63/BN$64+SUM(BN222:BN$242)*(BN$64-BN$63)/BN$64*BO221)</f>
        <v>0</v>
      </c>
      <c r="BQ221" s="77"/>
      <c r="BR221" s="87">
        <f t="shared" si="531"/>
        <v>0</v>
      </c>
      <c r="BS221" s="77">
        <f t="shared" si="532"/>
        <v>5.6799999999999996E-2</v>
      </c>
      <c r="BT221" s="87">
        <f>IF($A221&gt;'Debt Service'!BR$58, 0, SUM(BR221:BR$242)*BS221*BR$63/BR$64+SUM(BR222:BR$242)*(BR$64-BR$63)/BR$64*BS221)</f>
        <v>194710.39999999999</v>
      </c>
      <c r="BU221" s="87"/>
      <c r="BV221" s="35">
        <f t="shared" si="565"/>
        <v>0</v>
      </c>
      <c r="BW221" s="35">
        <f t="shared" si="566"/>
        <v>194710.39999999999</v>
      </c>
      <c r="BX221" s="87"/>
      <c r="BY221" s="87">
        <f t="shared" si="533"/>
        <v>0</v>
      </c>
      <c r="BZ221" s="77" t="str">
        <f t="shared" si="534"/>
        <v xml:space="preserve">   </v>
      </c>
      <c r="CA221" s="87">
        <f>IF($A221&gt;'Debt Service'!BY$58, 0, SUM(BY221:BY$242)*BZ221*BY$63/BY$64+SUM(BY222:BY$242)*(BY$64-BY$63)/BY$64*BZ221)</f>
        <v>0</v>
      </c>
      <c r="CB221" s="87"/>
      <c r="CC221" s="87">
        <f t="shared" si="535"/>
        <v>0</v>
      </c>
      <c r="CD221" s="77" t="str">
        <f t="shared" si="536"/>
        <v xml:space="preserve">   </v>
      </c>
      <c r="CE221" s="87">
        <f>IF(OR($A221&gt;'Debt Service'!CC$58,$A221&lt;CC$51), 0, SUM(CC221:CC$242)*CD221*CC$63/CC$64+SUM(CC222:CC$242)*(CC$64-CC$63)/CC$64*CD221)</f>
        <v>0</v>
      </c>
      <c r="CF221" s="87"/>
      <c r="CG221" s="87">
        <f t="shared" si="537"/>
        <v>0</v>
      </c>
      <c r="CH221" s="77">
        <f t="shared" si="538"/>
        <v>5.6799999999999996E-2</v>
      </c>
      <c r="CI221" s="87">
        <f>IF(OR($A221&gt;'Debt Service'!CG$58,$A221&lt;CG$51), 0, SUM(CG221:CG$242)*CH221*CG$63/CG$64+SUM(CG222:CG$242)*(CG$64-CG$63)/CG$64*CH221)</f>
        <v>180453.59999999998</v>
      </c>
      <c r="CJ221" s="87"/>
      <c r="CK221" s="87">
        <f t="shared" si="539"/>
        <v>0</v>
      </c>
      <c r="CL221" s="77">
        <f t="shared" si="540"/>
        <v>6.0999999999999999E-2</v>
      </c>
      <c r="CM221" s="87">
        <f>IF(OR($A221&gt;'Debt Service'!CK$58,$A221&lt;CK$51), 0, SUM(CK221:CK$242)*CL221*CK$63/CK$64+SUM(CK222:CK$242)*(CK$64-CK$63)/CK$64*CL221)</f>
        <v>198067</v>
      </c>
      <c r="CN221" s="87"/>
      <c r="CO221" s="162">
        <f t="shared" si="541"/>
        <v>0</v>
      </c>
      <c r="CP221" s="87">
        <f t="shared" si="542"/>
        <v>378520.6</v>
      </c>
      <c r="CQ221" s="87"/>
      <c r="CR221" s="87">
        <f t="shared" si="543"/>
        <v>0</v>
      </c>
      <c r="CS221" s="77" t="str">
        <f t="shared" si="544"/>
        <v xml:space="preserve">   </v>
      </c>
      <c r="CT221" s="87">
        <f>IF(OR($A221&gt;'Debt Service'!CR$58,$A221&lt;CR$51), 0, SUM(CR221:CR$242)*CS221*CR$63/CR$64+SUM(CR222:CR$242)*(CR$64-CR$63)/CR$64*CS221)</f>
        <v>0</v>
      </c>
      <c r="CU221" s="87"/>
      <c r="CV221" s="87">
        <f t="shared" si="545"/>
        <v>0</v>
      </c>
      <c r="CW221" s="77">
        <f t="shared" si="546"/>
        <v>6.0999999999999999E-2</v>
      </c>
      <c r="CX221" s="87">
        <f>IF(OR($A221&gt;'Debt Service'!CV$58,$A221&lt;CV$51), 0, SUM(CV221:CV$242)*CW221*CV$63/CV$64+SUM(CV222:CV$242)*(CV$64-CV$63)/CV$64*CW221)</f>
        <v>206119</v>
      </c>
      <c r="CY221" s="87"/>
      <c r="CZ221" s="165">
        <f t="shared" si="547"/>
        <v>0</v>
      </c>
      <c r="DA221" s="165">
        <f t="shared" si="548"/>
        <v>206119</v>
      </c>
      <c r="DB221" s="87"/>
      <c r="DC221" s="87">
        <f t="shared" si="549"/>
        <v>0</v>
      </c>
      <c r="DD221" s="77" t="str">
        <f t="shared" si="550"/>
        <v xml:space="preserve">   </v>
      </c>
      <c r="DE221" s="87">
        <f>IF(OR($A221&gt;DC$191, $A221&lt;DC$51), 0, SUM(DC221:DC$242)*DD221*DC$63/DC$64+SUM(DC222:DC$242)*(DC$64-DC$63)/DC$64*DD221)</f>
        <v>0</v>
      </c>
      <c r="DF221" s="87"/>
      <c r="DG221" s="87">
        <f t="shared" si="551"/>
        <v>0</v>
      </c>
      <c r="DH221" s="77" t="str">
        <f t="shared" si="552"/>
        <v xml:space="preserve">   </v>
      </c>
      <c r="DI221" s="87">
        <f>IF(OR($A221&gt;DG$58, $A221&lt;DG$51), 0, SUM(DG221:DG$242)*DH221*DG$63/DG$64+SUM(DG222:DG$242)*(DG$64-DG$63)/DG$64*DH221)</f>
        <v>0</v>
      </c>
      <c r="DJ221" s="87"/>
      <c r="DK221" s="87">
        <f t="shared" si="553"/>
        <v>0</v>
      </c>
      <c r="DL221" s="77" t="str">
        <f t="shared" si="554"/>
        <v xml:space="preserve">   </v>
      </c>
      <c r="DM221" s="87">
        <f>IF(OR($A221&gt;DK$58, $A221&lt;DK$51), 0, SUM(DK221:DK$242)*DL221*DK$63/DK$64+SUM(DK222:DK$242)*(DK$64-DK$63)/DK$64*DL221)</f>
        <v>0</v>
      </c>
      <c r="DN221" s="87"/>
      <c r="DO221" s="87">
        <f t="shared" si="555"/>
        <v>0</v>
      </c>
      <c r="DP221" s="77" t="str">
        <f t="shared" si="556"/>
        <v xml:space="preserve">   </v>
      </c>
      <c r="DQ221" s="87">
        <f>IF(OR($A221&gt;DO$58, $A221&lt;DO$51), 0, SUM(DO221:DO$242)*DP221*DO$63/DO$64+SUM(DO222:DO$242)*(DO$64-DO$63)/DO$64*DP221)</f>
        <v>0</v>
      </c>
      <c r="DR221" s="87"/>
      <c r="DS221" s="87">
        <f t="shared" si="557"/>
        <v>0</v>
      </c>
      <c r="DT221" s="77" t="str">
        <f t="shared" si="558"/>
        <v xml:space="preserve">   </v>
      </c>
      <c r="DU221" s="87">
        <f>IF(OR($A221&gt;DS$58, $A221&lt;DS$51), 0, SUM(DS221:DS$242)*DT221*DS$63/DS$64+SUM(DS222:DS$242)*(DS$64-DS$63)/DS$64*DT221)</f>
        <v>0</v>
      </c>
      <c r="DV221" s="87"/>
      <c r="DW221" s="165">
        <f t="shared" si="571"/>
        <v>0</v>
      </c>
      <c r="DX221" s="165">
        <f t="shared" si="568"/>
        <v>1260972</v>
      </c>
      <c r="DY221" s="87"/>
      <c r="DZ221" s="53">
        <f t="shared" si="559"/>
        <v>2039</v>
      </c>
      <c r="EA221" s="35">
        <f t="shared" si="560"/>
        <v>0</v>
      </c>
      <c r="EB221" s="35">
        <f t="shared" si="561"/>
        <v>1260972</v>
      </c>
      <c r="EC221" s="35">
        <f t="shared" si="570"/>
        <v>22053000</v>
      </c>
      <c r="ED221" s="143">
        <f t="shared" si="569"/>
        <v>16</v>
      </c>
      <c r="EE221"/>
    </row>
    <row r="222" spans="1:135" s="33" customFormat="1" outlineLevel="1">
      <c r="A222" s="7">
        <f t="shared" si="562"/>
        <v>2040</v>
      </c>
      <c r="B222" s="151">
        <f>Assumptions!B24</f>
        <v>5.3800000000000001E-2</v>
      </c>
      <c r="C222" s="151">
        <f>Assumptions!C24</f>
        <v>5.3800000000000001E-2</v>
      </c>
      <c r="D222" s="151">
        <f>Assumptions!D24</f>
        <v>3.5000000000000003E-2</v>
      </c>
      <c r="E222" s="151">
        <f>Assumptions!E24</f>
        <v>5.2999999999999999E-2</v>
      </c>
      <c r="F222" s="8"/>
      <c r="G222" s="8"/>
      <c r="H222" s="8"/>
      <c r="I222" s="8"/>
      <c r="J222" s="8"/>
      <c r="K222" s="8"/>
      <c r="L222" s="8"/>
      <c r="M222" s="87">
        <f t="shared" si="504"/>
        <v>0</v>
      </c>
      <c r="N222" s="77" t="str">
        <f t="shared" si="505"/>
        <v xml:space="preserve">   </v>
      </c>
      <c r="O222" s="87">
        <f>IF($A222&gt;'Debt Service'!M$58, 0, SUM(M222:M$242)*N222*M$63/M$64+SUM(M223:M$242)*(M$64-M$63)/M$64*N222)</f>
        <v>0</v>
      </c>
      <c r="P222" s="35"/>
      <c r="Q222" s="87">
        <f t="shared" si="506"/>
        <v>0</v>
      </c>
      <c r="R222" s="77" t="str">
        <f t="shared" si="507"/>
        <v xml:space="preserve">   </v>
      </c>
      <c r="S222" s="87">
        <f>IF($A222&gt;'Debt Service'!Q$58, 0, SUM(Q222:Q$242)*R222*Q$63/Q$64+SUM(Q223:Q$242)*(Q$64-Q$63)/Q$64*R222)</f>
        <v>0</v>
      </c>
      <c r="T222" s="35"/>
      <c r="U222" s="35">
        <f t="shared" si="508"/>
        <v>0</v>
      </c>
      <c r="V222" s="35">
        <f t="shared" si="509"/>
        <v>0</v>
      </c>
      <c r="W222" s="35"/>
      <c r="X222" s="87">
        <f t="shared" si="510"/>
        <v>0</v>
      </c>
      <c r="Y222" s="77" t="str">
        <f t="shared" si="511"/>
        <v xml:space="preserve">   </v>
      </c>
      <c r="Z222" s="87">
        <f>IF($A222&gt;'Debt Service'!X$58, 0, SUM(X222:X$242)*Y222*X$63/X$64+SUM(X223:X$242)*(X$64-X$63)/X$64*Y222)</f>
        <v>0</v>
      </c>
      <c r="AA222" s="87"/>
      <c r="AB222" s="87">
        <f t="shared" si="512"/>
        <v>0</v>
      </c>
      <c r="AC222" s="77" t="str">
        <f t="shared" si="513"/>
        <v xml:space="preserve">   </v>
      </c>
      <c r="AD222" s="87">
        <f>IF($A222&gt;'Debt Service'!AB$58, 0, SUM(AB222:AB$242)*AC222*AB$63/AB$64+SUM(AB223:AB$242)*(AB$64-AB$63)/AB$64*AC222)</f>
        <v>0</v>
      </c>
      <c r="AE222" s="35"/>
      <c r="AF222" s="87">
        <f t="shared" si="514"/>
        <v>0</v>
      </c>
      <c r="AG222" s="77" t="str">
        <f t="shared" si="515"/>
        <v xml:space="preserve">   </v>
      </c>
      <c r="AH222" s="87">
        <f>IF($A222&gt;'Debt Service'!AF$58, 0, SUM(AF222:AF$242)*AG222*AF$63/AF$64+SUM(AF223:AF$242)*(AF$64-AF$63)/AF$64*AG222)</f>
        <v>0</v>
      </c>
      <c r="AI222" s="35"/>
      <c r="AJ222" s="87">
        <f t="shared" si="516"/>
        <v>0</v>
      </c>
      <c r="AK222" s="77">
        <f t="shared" si="517"/>
        <v>4.3000000000000003E-2</v>
      </c>
      <c r="AL222" s="87">
        <f>IF($A222&gt;'Debt Service'!AJ$58, 0, SUM(AJ222:AJ$242)*AK222*AJ$63/AJ$64+SUM(AJ223:AJ$242)*(AJ$64-AJ$63)/AJ$64*AK222)</f>
        <v>135020</v>
      </c>
      <c r="AM222" s="35"/>
      <c r="AN222" s="87"/>
      <c r="AO222" s="77" t="str">
        <f t="shared" si="518"/>
        <v xml:space="preserve">   </v>
      </c>
      <c r="AP222" s="87">
        <f>IF($A222&gt;'Debt Service'!AN$58, 0, SUM(AN222:AN$242)*AO222*AN$63/AN$64+SUM(AN223:AN$242)*(AN$64-AN$63)/AN$64*AO222)</f>
        <v>0</v>
      </c>
      <c r="AQ222" s="35"/>
      <c r="AR222" s="87">
        <f t="shared" si="519"/>
        <v>0</v>
      </c>
      <c r="AS222" s="77" t="str">
        <f t="shared" si="520"/>
        <v xml:space="preserve">   </v>
      </c>
      <c r="AT222" s="87">
        <f>IF($A222&gt;'Debt Service'!AR$58, 0, SUM(AR222:AR$242)*AS222*AR$63/AR$64+SUM(AR223:AR$242)*(AR$64-AR$63)/AR$64*AS222)</f>
        <v>0</v>
      </c>
      <c r="AV222" s="35">
        <f t="shared" si="521"/>
        <v>0</v>
      </c>
      <c r="AW222" s="35">
        <f t="shared" si="522"/>
        <v>135020</v>
      </c>
      <c r="AX222" s="35"/>
      <c r="AY222" s="87">
        <f t="shared" si="523"/>
        <v>0</v>
      </c>
      <c r="AZ222" s="77" t="str">
        <f t="shared" si="524"/>
        <v xml:space="preserve">   </v>
      </c>
      <c r="BA222" s="87">
        <f>IF($A222&gt;'Debt Service'!AY$58, 0, SUM(AY222:AY$242)*AZ222*AY$63/AY$64+SUM(AY223:AY$242)*(AY$64-AY$63)/AY$64*AZ222)</f>
        <v>0</v>
      </c>
      <c r="BB222" s="61"/>
      <c r="BC222" s="87">
        <f t="shared" si="525"/>
        <v>0</v>
      </c>
      <c r="BD222" s="77">
        <f t="shared" si="526"/>
        <v>6.0999999999999999E-2</v>
      </c>
      <c r="BE222" s="87">
        <f>IF($A222&gt;'Debt Service'!BC$58, 0, SUM(BC222:BC$242)*BD222*BC$63/BC$64+SUM(BC223:BC$242)*(BC$64-BC$63)/BC$64*BD222)</f>
        <v>97539</v>
      </c>
      <c r="BF222" s="61"/>
      <c r="BG222" s="87">
        <f t="shared" si="527"/>
        <v>0</v>
      </c>
      <c r="BH222" s="77">
        <f t="shared" si="528"/>
        <v>6.0999999999999999E-2</v>
      </c>
      <c r="BI222" s="87">
        <f>IF($A222&gt;'Debt Service'!BG$58, 0, SUM(BG222:BG$242)*BH222*BG$63/BG$64+SUM(BG223:BG$242)*(BG$64-BG$63)/BG$64*BH222)</f>
        <v>249063</v>
      </c>
      <c r="BJ222" s="61"/>
      <c r="BK222" s="35">
        <f t="shared" si="563"/>
        <v>0</v>
      </c>
      <c r="BL222" s="35">
        <f t="shared" si="564"/>
        <v>346602</v>
      </c>
      <c r="BM222" s="8"/>
      <c r="BN222" s="87">
        <f t="shared" si="529"/>
        <v>0</v>
      </c>
      <c r="BO222" s="77" t="str">
        <f t="shared" si="530"/>
        <v xml:space="preserve">   </v>
      </c>
      <c r="BP222" s="87">
        <f>IF($A222&gt;'Debt Service'!BN$58, 0, SUM(BN222:BN$242)*BO222*BN$63/BN$64+SUM(BN223:BN$242)*(BN$64-BN$63)/BN$64*BO222)</f>
        <v>0</v>
      </c>
      <c r="BQ222" s="77"/>
      <c r="BR222" s="87">
        <f t="shared" si="531"/>
        <v>0</v>
      </c>
      <c r="BS222" s="77">
        <f t="shared" si="532"/>
        <v>5.6799999999999996E-2</v>
      </c>
      <c r="BT222" s="87">
        <f>IF($A222&gt;'Debt Service'!BR$58, 0, SUM(BR222:BR$242)*BS222*BR$63/BR$64+SUM(BR223:BR$242)*(BR$64-BR$63)/BR$64*BS222)</f>
        <v>194710.39999999999</v>
      </c>
      <c r="BU222" s="87"/>
      <c r="BV222" s="35">
        <f t="shared" si="565"/>
        <v>0</v>
      </c>
      <c r="BW222" s="35">
        <f t="shared" si="566"/>
        <v>194710.39999999999</v>
      </c>
      <c r="BX222" s="87"/>
      <c r="BY222" s="87">
        <f t="shared" si="533"/>
        <v>0</v>
      </c>
      <c r="BZ222" s="77" t="str">
        <f t="shared" si="534"/>
        <v xml:space="preserve">   </v>
      </c>
      <c r="CA222" s="87">
        <f>IF($A222&gt;'Debt Service'!BY$58, 0, SUM(BY222:BY$242)*BZ222*BY$63/BY$64+SUM(BY223:BY$242)*(BY$64-BY$63)/BY$64*BZ222)</f>
        <v>0</v>
      </c>
      <c r="CB222" s="87"/>
      <c r="CC222" s="87">
        <f t="shared" si="535"/>
        <v>0</v>
      </c>
      <c r="CD222" s="77" t="str">
        <f t="shared" si="536"/>
        <v xml:space="preserve">   </v>
      </c>
      <c r="CE222" s="87">
        <f>IF(OR($A222&gt;'Debt Service'!CC$58,$A222&lt;CC$51), 0, SUM(CC222:CC$242)*CD222*CC$63/CC$64+SUM(CC223:CC$242)*(CC$64-CC$63)/CC$64*CD222)</f>
        <v>0</v>
      </c>
      <c r="CF222" s="87"/>
      <c r="CG222" s="87">
        <f t="shared" si="537"/>
        <v>0</v>
      </c>
      <c r="CH222" s="77">
        <f t="shared" si="538"/>
        <v>5.6799999999999996E-2</v>
      </c>
      <c r="CI222" s="87">
        <f>IF(OR($A222&gt;'Debt Service'!CG$58,$A222&lt;CG$51), 0, SUM(CG222:CG$242)*CH222*CG$63/CG$64+SUM(CG223:CG$242)*(CG$64-CG$63)/CG$64*CH222)</f>
        <v>180453.59999999998</v>
      </c>
      <c r="CJ222" s="87"/>
      <c r="CK222" s="87">
        <f t="shared" si="539"/>
        <v>0</v>
      </c>
      <c r="CL222" s="77">
        <f t="shared" si="540"/>
        <v>6.0999999999999999E-2</v>
      </c>
      <c r="CM222" s="87">
        <f>IF(OR($A222&gt;'Debt Service'!CK$58,$A222&lt;CK$51), 0, SUM(CK222:CK$242)*CL222*CK$63/CK$64+SUM(CK223:CK$242)*(CK$64-CK$63)/CK$64*CL222)</f>
        <v>198067</v>
      </c>
      <c r="CN222" s="87"/>
      <c r="CO222" s="162">
        <f t="shared" si="541"/>
        <v>0</v>
      </c>
      <c r="CP222" s="87">
        <f t="shared" si="542"/>
        <v>378520.6</v>
      </c>
      <c r="CQ222" s="87"/>
      <c r="CR222" s="87">
        <f t="shared" si="543"/>
        <v>0</v>
      </c>
      <c r="CS222" s="77" t="str">
        <f t="shared" si="544"/>
        <v xml:space="preserve">   </v>
      </c>
      <c r="CT222" s="87">
        <f>IF(OR($A222&gt;'Debt Service'!CR$58,$A222&lt;CR$51), 0, SUM(CR222:CR$242)*CS222*CR$63/CR$64+SUM(CR223:CR$242)*(CR$64-CR$63)/CR$64*CS222)</f>
        <v>0</v>
      </c>
      <c r="CU222" s="87"/>
      <c r="CV222" s="87">
        <f t="shared" si="545"/>
        <v>0</v>
      </c>
      <c r="CW222" s="77">
        <f t="shared" si="546"/>
        <v>6.0999999999999999E-2</v>
      </c>
      <c r="CX222" s="87">
        <f>IF(OR($A222&gt;'Debt Service'!CV$58,$A222&lt;CV$51), 0, SUM(CV222:CV$242)*CW222*CV$63/CV$64+SUM(CV223:CV$242)*(CV$64-CV$63)/CV$64*CW222)</f>
        <v>206119</v>
      </c>
      <c r="CY222" s="87"/>
      <c r="CZ222" s="165">
        <f t="shared" si="547"/>
        <v>0</v>
      </c>
      <c r="DA222" s="165">
        <f t="shared" si="548"/>
        <v>206119</v>
      </c>
      <c r="DB222" s="87"/>
      <c r="DC222" s="87">
        <f t="shared" si="549"/>
        <v>0</v>
      </c>
      <c r="DD222" s="77" t="str">
        <f t="shared" si="550"/>
        <v xml:space="preserve">   </v>
      </c>
      <c r="DE222" s="87">
        <f>IF(OR($A222&gt;DC$191, $A222&lt;DC$51), 0, SUM(DC222:DC$242)*DD222*DC$63/DC$64+SUM(DC223:DC$242)*(DC$64-DC$63)/DC$64*DD222)</f>
        <v>0</v>
      </c>
      <c r="DF222" s="87"/>
      <c r="DG222" s="87">
        <f t="shared" si="551"/>
        <v>0</v>
      </c>
      <c r="DH222" s="77" t="str">
        <f t="shared" si="552"/>
        <v xml:space="preserve">   </v>
      </c>
      <c r="DI222" s="87">
        <f>IF(OR($A222&gt;DG$58, $A222&lt;DG$51), 0, SUM(DG222:DG$242)*DH222*DG$63/DG$64+SUM(DG223:DG$242)*(DG$64-DG$63)/DG$64*DH222)</f>
        <v>0</v>
      </c>
      <c r="DJ222" s="87"/>
      <c r="DK222" s="87">
        <f t="shared" si="553"/>
        <v>0</v>
      </c>
      <c r="DL222" s="77" t="str">
        <f t="shared" si="554"/>
        <v xml:space="preserve">   </v>
      </c>
      <c r="DM222" s="87">
        <f>IF(OR($A222&gt;DK$58, $A222&lt;DK$51), 0, SUM(DK222:DK$242)*DL222*DK$63/DK$64+SUM(DK223:DK$242)*(DK$64-DK$63)/DK$64*DL222)</f>
        <v>0</v>
      </c>
      <c r="DN222" s="87"/>
      <c r="DO222" s="87">
        <f t="shared" si="555"/>
        <v>0</v>
      </c>
      <c r="DP222" s="77" t="str">
        <f t="shared" si="556"/>
        <v xml:space="preserve">   </v>
      </c>
      <c r="DQ222" s="87">
        <f>IF(OR($A222&gt;DO$58, $A222&lt;DO$51), 0, SUM(DO222:DO$242)*DP222*DO$63/DO$64+SUM(DO223:DO$242)*(DO$64-DO$63)/DO$64*DP222)</f>
        <v>0</v>
      </c>
      <c r="DR222" s="87"/>
      <c r="DS222" s="87">
        <f t="shared" si="557"/>
        <v>0</v>
      </c>
      <c r="DT222" s="77" t="str">
        <f t="shared" si="558"/>
        <v xml:space="preserve">   </v>
      </c>
      <c r="DU222" s="87">
        <f>IF(OR($A222&gt;DS$58, $A222&lt;DS$51), 0, SUM(DS222:DS$242)*DT222*DS$63/DS$64+SUM(DS223:DS$242)*(DS$64-DS$63)/DS$64*DT222)</f>
        <v>0</v>
      </c>
      <c r="DV222" s="87"/>
      <c r="DW222" s="165">
        <f t="shared" si="571"/>
        <v>0</v>
      </c>
      <c r="DX222" s="165">
        <f t="shared" si="568"/>
        <v>1260972</v>
      </c>
      <c r="DY222" s="87"/>
      <c r="DZ222" s="53">
        <f t="shared" si="559"/>
        <v>2040</v>
      </c>
      <c r="EA222" s="35">
        <f t="shared" si="560"/>
        <v>0</v>
      </c>
      <c r="EB222" s="35">
        <f t="shared" si="561"/>
        <v>1260972</v>
      </c>
      <c r="EC222" s="35">
        <f t="shared" si="570"/>
        <v>22053000</v>
      </c>
      <c r="ED222" s="143">
        <f t="shared" si="569"/>
        <v>17</v>
      </c>
      <c r="EE222"/>
    </row>
    <row r="223" spans="1:135" s="33" customFormat="1" outlineLevel="1">
      <c r="A223" s="7">
        <f t="shared" si="562"/>
        <v>2041</v>
      </c>
      <c r="B223" s="151">
        <f>Assumptions!B25</f>
        <v>5.3800000000000001E-2</v>
      </c>
      <c r="C223" s="151">
        <f>Assumptions!C25</f>
        <v>5.3800000000000001E-2</v>
      </c>
      <c r="D223" s="151">
        <f>Assumptions!D25</f>
        <v>3.5000000000000003E-2</v>
      </c>
      <c r="E223" s="151">
        <f>Assumptions!E25</f>
        <v>5.2999999999999999E-2</v>
      </c>
      <c r="F223" s="8"/>
      <c r="G223" s="8"/>
      <c r="H223" s="8"/>
      <c r="I223" s="8"/>
      <c r="J223" s="8"/>
      <c r="K223" s="8"/>
      <c r="L223" s="8"/>
      <c r="M223" s="87">
        <f t="shared" si="504"/>
        <v>0</v>
      </c>
      <c r="N223" s="77" t="str">
        <f t="shared" si="505"/>
        <v xml:space="preserve">   </v>
      </c>
      <c r="O223" s="87">
        <f>IF($A223&gt;'Debt Service'!M$58, 0, SUM(M223:M$242)*N223*M$63/M$64+SUM(M224:M$242)*(M$64-M$63)/M$64*N223)</f>
        <v>0</v>
      </c>
      <c r="P223" s="35"/>
      <c r="Q223" s="87">
        <f t="shared" si="506"/>
        <v>0</v>
      </c>
      <c r="R223" s="77" t="str">
        <f t="shared" si="507"/>
        <v xml:space="preserve">   </v>
      </c>
      <c r="S223" s="87">
        <f>IF($A223&gt;'Debt Service'!Q$58, 0, SUM(Q223:Q$242)*R223*Q$63/Q$64+SUM(Q224:Q$242)*(Q$64-Q$63)/Q$64*R223)</f>
        <v>0</v>
      </c>
      <c r="T223" s="35"/>
      <c r="U223" s="35">
        <f t="shared" si="508"/>
        <v>0</v>
      </c>
      <c r="V223" s="35">
        <f t="shared" si="509"/>
        <v>0</v>
      </c>
      <c r="W223" s="35"/>
      <c r="X223" s="87">
        <f t="shared" si="510"/>
        <v>0</v>
      </c>
      <c r="Y223" s="77" t="str">
        <f t="shared" si="511"/>
        <v xml:space="preserve">   </v>
      </c>
      <c r="Z223" s="87">
        <f>IF($A223&gt;'Debt Service'!X$58, 0, SUM(X223:X$242)*Y223*X$63/X$64+SUM(X224:X$242)*(X$64-X$63)/X$64*Y223)</f>
        <v>0</v>
      </c>
      <c r="AA223" s="87"/>
      <c r="AB223" s="87">
        <f t="shared" si="512"/>
        <v>0</v>
      </c>
      <c r="AC223" s="77" t="str">
        <f t="shared" si="513"/>
        <v xml:space="preserve">   </v>
      </c>
      <c r="AD223" s="87">
        <f>IF($A223&gt;'Debt Service'!AB$58, 0, SUM(AB223:AB$242)*AC223*AB$63/AB$64+SUM(AB224:AB$242)*(AB$64-AB$63)/AB$64*AC223)</f>
        <v>0</v>
      </c>
      <c r="AE223" s="35"/>
      <c r="AF223" s="87">
        <f t="shared" si="514"/>
        <v>0</v>
      </c>
      <c r="AG223" s="77" t="str">
        <f t="shared" si="515"/>
        <v xml:space="preserve">   </v>
      </c>
      <c r="AH223" s="87">
        <f>IF($A223&gt;'Debt Service'!AF$58, 0, SUM(AF223:AF$242)*AG223*AF$63/AF$64+SUM(AF224:AF$242)*(AF$64-AF$63)/AF$64*AG223)</f>
        <v>0</v>
      </c>
      <c r="AI223" s="35"/>
      <c r="AJ223" s="87">
        <f t="shared" si="516"/>
        <v>0</v>
      </c>
      <c r="AK223" s="77">
        <f t="shared" si="517"/>
        <v>4.3000000000000003E-2</v>
      </c>
      <c r="AL223" s="87">
        <f>IF($A223&gt;'Debt Service'!AJ$58, 0, SUM(AJ223:AJ$242)*AK223*AJ$63/AJ$64+SUM(AJ224:AJ$242)*(AJ$64-AJ$63)/AJ$64*AK223)</f>
        <v>135020</v>
      </c>
      <c r="AM223" s="36"/>
      <c r="AN223" s="87"/>
      <c r="AO223" s="77" t="str">
        <f t="shared" si="518"/>
        <v xml:space="preserve">   </v>
      </c>
      <c r="AP223" s="87">
        <f>IF($A223&gt;'Debt Service'!AN$58, 0, SUM(AN223:AN$242)*AO223*AN$63/AN$64+SUM(AN224:AN$242)*(AN$64-AN$63)/AN$64*AO223)</f>
        <v>0</v>
      </c>
      <c r="AQ223" s="35"/>
      <c r="AR223" s="87">
        <f t="shared" si="519"/>
        <v>0</v>
      </c>
      <c r="AS223" s="77" t="str">
        <f t="shared" si="520"/>
        <v xml:space="preserve">   </v>
      </c>
      <c r="AT223" s="87">
        <f>IF($A223&gt;'Debt Service'!AR$58, 0, SUM(AR223:AR$242)*AS223*AR$63/AR$64+SUM(AR224:AR$242)*(AR$64-AR$63)/AR$64*AS223)</f>
        <v>0</v>
      </c>
      <c r="AV223" s="35">
        <f t="shared" si="521"/>
        <v>0</v>
      </c>
      <c r="AW223" s="35">
        <f t="shared" si="522"/>
        <v>135020</v>
      </c>
      <c r="AX223" s="35"/>
      <c r="AY223" s="87">
        <f t="shared" si="523"/>
        <v>0</v>
      </c>
      <c r="AZ223" s="77" t="str">
        <f t="shared" si="524"/>
        <v xml:space="preserve">   </v>
      </c>
      <c r="BA223" s="87">
        <f>IF($A223&gt;'Debt Service'!AY$58, 0, SUM(AY223:AY$242)*AZ223*AY$63/AY$64+SUM(AY224:AY$242)*(AY$64-AY$63)/AY$64*AZ223)</f>
        <v>0</v>
      </c>
      <c r="BB223" s="61"/>
      <c r="BC223" s="87">
        <f t="shared" si="525"/>
        <v>0</v>
      </c>
      <c r="BD223" s="77">
        <f t="shared" si="526"/>
        <v>6.0999999999999999E-2</v>
      </c>
      <c r="BE223" s="87">
        <f>IF($A223&gt;'Debt Service'!BC$58, 0, SUM(BC223:BC$242)*BD223*BC$63/BC$64+SUM(BC224:BC$242)*(BC$64-BC$63)/BC$64*BD223)</f>
        <v>97539</v>
      </c>
      <c r="BF223" s="61"/>
      <c r="BG223" s="87">
        <f t="shared" si="527"/>
        <v>0</v>
      </c>
      <c r="BH223" s="77">
        <f t="shared" si="528"/>
        <v>6.0999999999999999E-2</v>
      </c>
      <c r="BI223" s="87">
        <f>IF($A223&gt;'Debt Service'!BG$58, 0, SUM(BG223:BG$242)*BH223*BG$63/BG$64+SUM(BG224:BG$242)*(BG$64-BG$63)/BG$64*BH223)</f>
        <v>249063</v>
      </c>
      <c r="BJ223" s="61"/>
      <c r="BK223" s="35">
        <f t="shared" si="563"/>
        <v>0</v>
      </c>
      <c r="BL223" s="35">
        <f t="shared" si="564"/>
        <v>346602</v>
      </c>
      <c r="BM223" s="8"/>
      <c r="BN223" s="87">
        <f t="shared" si="529"/>
        <v>0</v>
      </c>
      <c r="BO223" s="77" t="str">
        <f t="shared" si="530"/>
        <v xml:space="preserve">   </v>
      </c>
      <c r="BP223" s="87">
        <f>IF($A223&gt;'Debt Service'!BN$58, 0, SUM(BN223:BN$242)*BO223*BN$63/BN$64+SUM(BN224:BN$242)*(BN$64-BN$63)/BN$64*BO223)</f>
        <v>0</v>
      </c>
      <c r="BQ223" s="77"/>
      <c r="BR223" s="87">
        <f t="shared" si="531"/>
        <v>0</v>
      </c>
      <c r="BS223" s="77">
        <f t="shared" si="532"/>
        <v>5.6799999999999996E-2</v>
      </c>
      <c r="BT223" s="87">
        <f>IF($A223&gt;'Debt Service'!BR$58, 0, SUM(BR223:BR$242)*BS223*BR$63/BR$64+SUM(BR224:BR$242)*(BR$64-BR$63)/BR$64*BS223)</f>
        <v>194710.39999999999</v>
      </c>
      <c r="BU223" s="87"/>
      <c r="BV223" s="35">
        <f t="shared" si="565"/>
        <v>0</v>
      </c>
      <c r="BW223" s="35">
        <f t="shared" si="566"/>
        <v>194710.39999999999</v>
      </c>
      <c r="BX223" s="87"/>
      <c r="BY223" s="87">
        <f t="shared" si="533"/>
        <v>0</v>
      </c>
      <c r="BZ223" s="77" t="str">
        <f t="shared" si="534"/>
        <v xml:space="preserve">   </v>
      </c>
      <c r="CA223" s="87">
        <f>IF($A223&gt;'Debt Service'!BY$58, 0, SUM(BY223:BY$242)*BZ223*BY$63/BY$64+SUM(BY224:BY$242)*(BY$64-BY$63)/BY$64*BZ223)</f>
        <v>0</v>
      </c>
      <c r="CB223" s="87"/>
      <c r="CC223" s="87">
        <f t="shared" si="535"/>
        <v>0</v>
      </c>
      <c r="CD223" s="77" t="str">
        <f t="shared" si="536"/>
        <v xml:space="preserve">   </v>
      </c>
      <c r="CE223" s="87">
        <f>IF(OR($A223&gt;'Debt Service'!CC$58,$A223&lt;CC$51), 0, SUM(CC223:CC$242)*CD223*CC$63/CC$64+SUM(CC224:CC$242)*(CC$64-CC$63)/CC$64*CD223)</f>
        <v>0</v>
      </c>
      <c r="CF223" s="87"/>
      <c r="CG223" s="87">
        <f t="shared" si="537"/>
        <v>0</v>
      </c>
      <c r="CH223" s="77">
        <f t="shared" si="538"/>
        <v>5.6799999999999996E-2</v>
      </c>
      <c r="CI223" s="87">
        <f>IF(OR($A223&gt;'Debt Service'!CG$58,$A223&lt;CG$51), 0, SUM(CG223:CG$242)*CH223*CG$63/CG$64+SUM(CG224:CG$242)*(CG$64-CG$63)/CG$64*CH223)</f>
        <v>180453.59999999998</v>
      </c>
      <c r="CJ223" s="87"/>
      <c r="CK223" s="87">
        <f t="shared" si="539"/>
        <v>0</v>
      </c>
      <c r="CL223" s="77">
        <f t="shared" si="540"/>
        <v>6.0999999999999999E-2</v>
      </c>
      <c r="CM223" s="87">
        <f>IF(OR($A223&gt;'Debt Service'!CK$58,$A223&lt;CK$51), 0, SUM(CK223:CK$242)*CL223*CK$63/CK$64+SUM(CK224:CK$242)*(CK$64-CK$63)/CK$64*CL223)</f>
        <v>198067</v>
      </c>
      <c r="CN223" s="87"/>
      <c r="CO223" s="162">
        <f t="shared" si="541"/>
        <v>0</v>
      </c>
      <c r="CP223" s="87">
        <f t="shared" si="542"/>
        <v>378520.6</v>
      </c>
      <c r="CQ223" s="87"/>
      <c r="CR223" s="87">
        <f t="shared" si="543"/>
        <v>0</v>
      </c>
      <c r="CS223" s="77" t="str">
        <f t="shared" si="544"/>
        <v xml:space="preserve">   </v>
      </c>
      <c r="CT223" s="87">
        <f>IF(OR($A223&gt;'Debt Service'!CR$58,$A223&lt;CR$51), 0, SUM(CR223:CR$242)*CS223*CR$63/CR$64+SUM(CR224:CR$242)*(CR$64-CR$63)/CR$64*CS223)</f>
        <v>0</v>
      </c>
      <c r="CU223" s="87"/>
      <c r="CV223" s="87">
        <f t="shared" si="545"/>
        <v>0</v>
      </c>
      <c r="CW223" s="77">
        <f t="shared" si="546"/>
        <v>6.0999999999999999E-2</v>
      </c>
      <c r="CX223" s="87">
        <f>IF(OR($A223&gt;'Debt Service'!CV$58,$A223&lt;CV$51), 0, SUM(CV223:CV$242)*CW223*CV$63/CV$64+SUM(CV224:CV$242)*(CV$64-CV$63)/CV$64*CW223)</f>
        <v>206119</v>
      </c>
      <c r="CY223" s="87"/>
      <c r="CZ223" s="165">
        <f t="shared" si="547"/>
        <v>0</v>
      </c>
      <c r="DA223" s="165">
        <f t="shared" si="548"/>
        <v>206119</v>
      </c>
      <c r="DB223" s="87"/>
      <c r="DC223" s="87">
        <f t="shared" si="549"/>
        <v>0</v>
      </c>
      <c r="DD223" s="77" t="str">
        <f t="shared" si="550"/>
        <v xml:space="preserve">   </v>
      </c>
      <c r="DE223" s="87">
        <f>IF(OR($A223&gt;DC$191, $A223&lt;DC$51), 0, SUM(DC223:DC$242)*DD223*DC$63/DC$64+SUM(DC224:DC$242)*(DC$64-DC$63)/DC$64*DD223)</f>
        <v>0</v>
      </c>
      <c r="DF223" s="87"/>
      <c r="DG223" s="87">
        <f t="shared" si="551"/>
        <v>0</v>
      </c>
      <c r="DH223" s="77" t="str">
        <f t="shared" si="552"/>
        <v xml:space="preserve">   </v>
      </c>
      <c r="DI223" s="87">
        <f>IF(OR($A223&gt;DG$58, $A223&lt;DG$51), 0, SUM(DG223:DG$242)*DH223*DG$63/DG$64+SUM(DG224:DG$242)*(DG$64-DG$63)/DG$64*DH223)</f>
        <v>0</v>
      </c>
      <c r="DJ223" s="87"/>
      <c r="DK223" s="87">
        <f t="shared" si="553"/>
        <v>0</v>
      </c>
      <c r="DL223" s="77" t="str">
        <f t="shared" si="554"/>
        <v xml:space="preserve">   </v>
      </c>
      <c r="DM223" s="87">
        <f>IF(OR($A223&gt;DK$58, $A223&lt;DK$51), 0, SUM(DK223:DK$242)*DL223*DK$63/DK$64+SUM(DK224:DK$242)*(DK$64-DK$63)/DK$64*DL223)</f>
        <v>0</v>
      </c>
      <c r="DN223" s="87"/>
      <c r="DO223" s="87">
        <f t="shared" si="555"/>
        <v>0</v>
      </c>
      <c r="DP223" s="77" t="str">
        <f t="shared" si="556"/>
        <v xml:space="preserve">   </v>
      </c>
      <c r="DQ223" s="87">
        <f>IF(OR($A223&gt;DO$58, $A223&lt;DO$51), 0, SUM(DO223:DO$242)*DP223*DO$63/DO$64+SUM(DO224:DO$242)*(DO$64-DO$63)/DO$64*DP223)</f>
        <v>0</v>
      </c>
      <c r="DR223" s="87"/>
      <c r="DS223" s="87">
        <f t="shared" si="557"/>
        <v>0</v>
      </c>
      <c r="DT223" s="77" t="str">
        <f t="shared" si="558"/>
        <v xml:space="preserve">   </v>
      </c>
      <c r="DU223" s="87">
        <f>IF(OR($A223&gt;DS$58, $A223&lt;DS$51), 0, SUM(DS223:DS$242)*DT223*DS$63/DS$64+SUM(DS224:DS$242)*(DS$64-DS$63)/DS$64*DT223)</f>
        <v>0</v>
      </c>
      <c r="DV223" s="87"/>
      <c r="DW223" s="165">
        <f t="shared" si="571"/>
        <v>0</v>
      </c>
      <c r="DX223" s="165">
        <f t="shared" si="568"/>
        <v>1260972</v>
      </c>
      <c r="DY223" s="87"/>
      <c r="DZ223" s="53">
        <f t="shared" si="559"/>
        <v>2041</v>
      </c>
      <c r="EA223" s="35">
        <f t="shared" si="560"/>
        <v>0</v>
      </c>
      <c r="EB223" s="35">
        <f t="shared" si="561"/>
        <v>1260972</v>
      </c>
      <c r="EC223" s="35">
        <f t="shared" si="570"/>
        <v>22053000</v>
      </c>
      <c r="ED223" s="143">
        <f t="shared" si="569"/>
        <v>18</v>
      </c>
      <c r="EE223"/>
    </row>
    <row r="224" spans="1:135" s="33" customFormat="1" outlineLevel="1">
      <c r="A224" s="7">
        <f t="shared" si="562"/>
        <v>2042</v>
      </c>
      <c r="B224" s="151">
        <f>Assumptions!B26</f>
        <v>5.3800000000000001E-2</v>
      </c>
      <c r="C224" s="151">
        <f>Assumptions!C26</f>
        <v>5.3800000000000001E-2</v>
      </c>
      <c r="D224" s="151">
        <f>Assumptions!D26</f>
        <v>3.5000000000000003E-2</v>
      </c>
      <c r="E224" s="151">
        <f>Assumptions!E26</f>
        <v>5.2999999999999999E-2</v>
      </c>
      <c r="F224" s="8"/>
      <c r="G224" s="8"/>
      <c r="H224" s="8"/>
      <c r="I224" s="8"/>
      <c r="J224" s="8"/>
      <c r="K224" s="8"/>
      <c r="L224" s="8"/>
      <c r="M224" s="87">
        <f t="shared" si="504"/>
        <v>0</v>
      </c>
      <c r="N224" s="77" t="str">
        <f t="shared" si="505"/>
        <v xml:space="preserve">   </v>
      </c>
      <c r="O224" s="87">
        <f>IF($A224&gt;'Debt Service'!M$58, 0, SUM(M224:M$242)*N224*M$63/M$64+SUM(M225:M$242)*(M$64-M$63)/M$64*N224)</f>
        <v>0</v>
      </c>
      <c r="P224" s="35"/>
      <c r="Q224" s="87">
        <f t="shared" si="506"/>
        <v>0</v>
      </c>
      <c r="R224" s="77" t="str">
        <f t="shared" si="507"/>
        <v xml:space="preserve">   </v>
      </c>
      <c r="S224" s="87">
        <f>IF($A224&gt;'Debt Service'!Q$58, 0, SUM(Q224:Q$242)*R224*Q$63/Q$64+SUM(Q225:Q$242)*(Q$64-Q$63)/Q$64*R224)</f>
        <v>0</v>
      </c>
      <c r="T224" s="35"/>
      <c r="U224" s="35">
        <f t="shared" si="508"/>
        <v>0</v>
      </c>
      <c r="V224" s="35">
        <f t="shared" si="509"/>
        <v>0</v>
      </c>
      <c r="W224" s="35"/>
      <c r="X224" s="87">
        <f t="shared" si="510"/>
        <v>0</v>
      </c>
      <c r="Y224" s="77" t="str">
        <f t="shared" si="511"/>
        <v xml:space="preserve">   </v>
      </c>
      <c r="Z224" s="87">
        <f>IF($A224&gt;'Debt Service'!X$58, 0, SUM(X224:X$242)*Y224*X$63/X$64+SUM(X225:X$242)*(X$64-X$63)/X$64*Y224)</f>
        <v>0</v>
      </c>
      <c r="AA224" s="87"/>
      <c r="AB224" s="87">
        <f t="shared" si="512"/>
        <v>0</v>
      </c>
      <c r="AC224" s="77" t="str">
        <f t="shared" si="513"/>
        <v xml:space="preserve">   </v>
      </c>
      <c r="AD224" s="87">
        <f>IF($A224&gt;'Debt Service'!AB$58, 0, SUM(AB224:AB$242)*AC224*AB$63/AB$64+SUM(AB225:AB$242)*(AB$64-AB$63)/AB$64*AC224)</f>
        <v>0</v>
      </c>
      <c r="AE224" s="35"/>
      <c r="AF224" s="87">
        <f t="shared" si="514"/>
        <v>0</v>
      </c>
      <c r="AG224" s="77" t="str">
        <f t="shared" si="515"/>
        <v xml:space="preserve">   </v>
      </c>
      <c r="AH224" s="87">
        <f>IF($A224&gt;'Debt Service'!AF$58, 0, SUM(AF224:AF$242)*AG224*AF$63/AF$64+SUM(AF225:AF$242)*(AF$64-AF$63)/AF$64*AG224)</f>
        <v>0</v>
      </c>
      <c r="AI224" s="35"/>
      <c r="AJ224" s="87">
        <f t="shared" si="516"/>
        <v>3140000</v>
      </c>
      <c r="AK224" s="77">
        <f t="shared" si="517"/>
        <v>4.3000000000000003E-2</v>
      </c>
      <c r="AL224" s="87">
        <f>IF($A224&gt;'Debt Service'!AJ$58, 0, SUM(AJ224:AJ$242)*AK224*AJ$63/AJ$64+SUM(AJ225:AJ$242)*(AJ$64-AJ$63)/AJ$64*AK224)</f>
        <v>67510</v>
      </c>
      <c r="AM224" s="35"/>
      <c r="AN224" s="87"/>
      <c r="AO224" s="77" t="str">
        <f t="shared" si="518"/>
        <v xml:space="preserve">   </v>
      </c>
      <c r="AP224" s="87">
        <f>IF($A224&gt;'Debt Service'!AN$58, 0, SUM(AN224:AN$242)*AO224*AN$63/AN$64+SUM(AN225:AN$242)*(AN$64-AN$63)/AN$64*AO224)</f>
        <v>0</v>
      </c>
      <c r="AQ224" s="35"/>
      <c r="AR224" s="87">
        <f t="shared" si="519"/>
        <v>0</v>
      </c>
      <c r="AS224" s="77" t="str">
        <f t="shared" si="520"/>
        <v xml:space="preserve">   </v>
      </c>
      <c r="AT224" s="87">
        <f>IF($A224&gt;'Debt Service'!AR$58, 0, SUM(AR224:AR$242)*AS224*AR$63/AR$64+SUM(AR225:AR$242)*(AR$64-AR$63)/AR$64*AS224)</f>
        <v>0</v>
      </c>
      <c r="AV224" s="35">
        <f t="shared" si="521"/>
        <v>3140000</v>
      </c>
      <c r="AW224" s="35">
        <f t="shared" si="522"/>
        <v>67510</v>
      </c>
      <c r="AX224" s="35"/>
      <c r="AY224" s="87">
        <f t="shared" si="523"/>
        <v>0</v>
      </c>
      <c r="AZ224" s="77" t="str">
        <f t="shared" si="524"/>
        <v xml:space="preserve">   </v>
      </c>
      <c r="BA224" s="87">
        <f>IF($A224&gt;'Debt Service'!AY$58, 0, SUM(AY224:AY$242)*AZ224*AY$63/AY$64+SUM(AY225:AY$242)*(AY$64-AY$63)/AY$64*AZ224)</f>
        <v>0</v>
      </c>
      <c r="BB224" s="61"/>
      <c r="BC224" s="87">
        <f t="shared" si="525"/>
        <v>0</v>
      </c>
      <c r="BD224" s="77">
        <f t="shared" si="526"/>
        <v>6.0999999999999999E-2</v>
      </c>
      <c r="BE224" s="87">
        <f>IF($A224&gt;'Debt Service'!BC$58, 0, SUM(BC224:BC$242)*BD224*BC$63/BC$64+SUM(BC225:BC$242)*(BC$64-BC$63)/BC$64*BD224)</f>
        <v>97539</v>
      </c>
      <c r="BF224" s="61"/>
      <c r="BG224" s="87">
        <f t="shared" si="527"/>
        <v>0</v>
      </c>
      <c r="BH224" s="77">
        <f t="shared" si="528"/>
        <v>6.0999999999999999E-2</v>
      </c>
      <c r="BI224" s="87">
        <f>IF($A224&gt;'Debt Service'!BG$58, 0, SUM(BG224:BG$242)*BH224*BG$63/BG$64+SUM(BG225:BG$242)*(BG$64-BG$63)/BG$64*BH224)</f>
        <v>249063</v>
      </c>
      <c r="BJ224" s="61"/>
      <c r="BK224" s="35">
        <f t="shared" si="563"/>
        <v>0</v>
      </c>
      <c r="BL224" s="35">
        <f t="shared" si="564"/>
        <v>346602</v>
      </c>
      <c r="BM224" s="8"/>
      <c r="BN224" s="87">
        <f t="shared" si="529"/>
        <v>0</v>
      </c>
      <c r="BO224" s="77" t="str">
        <f t="shared" si="530"/>
        <v xml:space="preserve">   </v>
      </c>
      <c r="BP224" s="87">
        <f>IF($A224&gt;'Debt Service'!BN$58, 0, SUM(BN224:BN$242)*BO224*BN$63/BN$64+SUM(BN225:BN$242)*(BN$64-BN$63)/BN$64*BO224)</f>
        <v>0</v>
      </c>
      <c r="BQ224" s="77"/>
      <c r="BR224" s="87">
        <f t="shared" si="531"/>
        <v>0</v>
      </c>
      <c r="BS224" s="77">
        <f t="shared" si="532"/>
        <v>5.6799999999999996E-2</v>
      </c>
      <c r="BT224" s="87">
        <f>IF($A224&gt;'Debt Service'!BR$58, 0, SUM(BR224:BR$242)*BS224*BR$63/BR$64+SUM(BR225:BR$242)*(BR$64-BR$63)/BR$64*BS224)</f>
        <v>194710.39999999999</v>
      </c>
      <c r="BU224" s="87"/>
      <c r="BV224" s="35">
        <f t="shared" si="565"/>
        <v>0</v>
      </c>
      <c r="BW224" s="35">
        <f t="shared" si="566"/>
        <v>194710.39999999999</v>
      </c>
      <c r="BX224" s="87"/>
      <c r="BY224" s="87">
        <f t="shared" si="533"/>
        <v>0</v>
      </c>
      <c r="BZ224" s="77" t="str">
        <f t="shared" si="534"/>
        <v xml:space="preserve">   </v>
      </c>
      <c r="CA224" s="87">
        <f>IF($A224&gt;'Debt Service'!BY$58, 0, SUM(BY224:BY$242)*BZ224*BY$63/BY$64+SUM(BY225:BY$242)*(BY$64-BY$63)/BY$64*BZ224)</f>
        <v>0</v>
      </c>
      <c r="CB224" s="87"/>
      <c r="CC224" s="87">
        <f t="shared" si="535"/>
        <v>0</v>
      </c>
      <c r="CD224" s="77" t="str">
        <f t="shared" si="536"/>
        <v xml:space="preserve">   </v>
      </c>
      <c r="CE224" s="87">
        <f>IF(OR($A224&gt;'Debt Service'!CC$58,$A224&lt;CC$51), 0, SUM(CC224:CC$242)*CD224*CC$63/CC$64+SUM(CC225:CC$242)*(CC$64-CC$63)/CC$64*CD224)</f>
        <v>0</v>
      </c>
      <c r="CF224" s="87"/>
      <c r="CG224" s="87">
        <f t="shared" si="537"/>
        <v>0</v>
      </c>
      <c r="CH224" s="77">
        <f t="shared" si="538"/>
        <v>5.6799999999999996E-2</v>
      </c>
      <c r="CI224" s="87">
        <f>IF(OR($A224&gt;'Debt Service'!CG$58,$A224&lt;CG$51), 0, SUM(CG224:CG$242)*CH224*CG$63/CG$64+SUM(CG225:CG$242)*(CG$64-CG$63)/CG$64*CH224)</f>
        <v>180453.59999999998</v>
      </c>
      <c r="CJ224" s="87"/>
      <c r="CK224" s="87">
        <f t="shared" si="539"/>
        <v>0</v>
      </c>
      <c r="CL224" s="77">
        <f t="shared" si="540"/>
        <v>6.0999999999999999E-2</v>
      </c>
      <c r="CM224" s="87">
        <f>IF(OR($A224&gt;'Debt Service'!CK$58,$A224&lt;CK$51), 0, SUM(CK224:CK$242)*CL224*CK$63/CK$64+SUM(CK225:CK$242)*(CK$64-CK$63)/CK$64*CL224)</f>
        <v>198067</v>
      </c>
      <c r="CN224" s="87"/>
      <c r="CO224" s="162">
        <f t="shared" si="541"/>
        <v>0</v>
      </c>
      <c r="CP224" s="87">
        <f t="shared" si="542"/>
        <v>378520.6</v>
      </c>
      <c r="CQ224" s="87"/>
      <c r="CR224" s="87">
        <f t="shared" si="543"/>
        <v>0</v>
      </c>
      <c r="CS224" s="77" t="str">
        <f t="shared" si="544"/>
        <v xml:space="preserve">   </v>
      </c>
      <c r="CT224" s="87">
        <f>IF(OR($A224&gt;'Debt Service'!CR$58,$A224&lt;CR$51), 0, SUM(CR224:CR$242)*CS224*CR$63/CR$64+SUM(CR225:CR$242)*(CR$64-CR$63)/CR$64*CS224)</f>
        <v>0</v>
      </c>
      <c r="CU224" s="87"/>
      <c r="CV224" s="87">
        <f t="shared" si="545"/>
        <v>0</v>
      </c>
      <c r="CW224" s="77">
        <f t="shared" si="546"/>
        <v>6.0999999999999999E-2</v>
      </c>
      <c r="CX224" s="87">
        <f>IF(OR($A224&gt;'Debt Service'!CV$58,$A224&lt;CV$51), 0, SUM(CV224:CV$242)*CW224*CV$63/CV$64+SUM(CV225:CV$242)*(CV$64-CV$63)/CV$64*CW224)</f>
        <v>206119</v>
      </c>
      <c r="CY224" s="87"/>
      <c r="CZ224" s="165">
        <f t="shared" si="547"/>
        <v>0</v>
      </c>
      <c r="DA224" s="165">
        <f t="shared" si="548"/>
        <v>206119</v>
      </c>
      <c r="DB224" s="87"/>
      <c r="DC224" s="87">
        <f t="shared" si="549"/>
        <v>0</v>
      </c>
      <c r="DD224" s="77" t="str">
        <f t="shared" si="550"/>
        <v xml:space="preserve">   </v>
      </c>
      <c r="DE224" s="87">
        <f>IF(OR($A224&gt;DC$191, $A224&lt;DC$51), 0, SUM(DC224:DC$242)*DD224*DC$63/DC$64+SUM(DC225:DC$242)*(DC$64-DC$63)/DC$64*DD224)</f>
        <v>0</v>
      </c>
      <c r="DF224" s="87"/>
      <c r="DG224" s="87">
        <f t="shared" si="551"/>
        <v>0</v>
      </c>
      <c r="DH224" s="77" t="str">
        <f t="shared" si="552"/>
        <v xml:space="preserve">   </v>
      </c>
      <c r="DI224" s="87">
        <f>IF(OR($A224&gt;DG$58, $A224&lt;DG$51), 0, SUM(DG224:DG$242)*DH224*DG$63/DG$64+SUM(DG225:DG$242)*(DG$64-DG$63)/DG$64*DH224)</f>
        <v>0</v>
      </c>
      <c r="DJ224" s="87"/>
      <c r="DK224" s="87">
        <f t="shared" si="553"/>
        <v>0</v>
      </c>
      <c r="DL224" s="77" t="str">
        <f t="shared" si="554"/>
        <v xml:space="preserve">   </v>
      </c>
      <c r="DM224" s="87">
        <f>IF(OR($A224&gt;DK$58, $A224&lt;DK$51), 0, SUM(DK224:DK$242)*DL224*DK$63/DK$64+SUM(DK225:DK$242)*(DK$64-DK$63)/DK$64*DL224)</f>
        <v>0</v>
      </c>
      <c r="DN224" s="87"/>
      <c r="DO224" s="87">
        <f t="shared" si="555"/>
        <v>0</v>
      </c>
      <c r="DP224" s="77" t="str">
        <f t="shared" si="556"/>
        <v xml:space="preserve">   </v>
      </c>
      <c r="DQ224" s="87">
        <f>IF(OR($A224&gt;DO$58, $A224&lt;DO$51), 0, SUM(DO224:DO$242)*DP224*DO$63/DO$64+SUM(DO225:DO$242)*(DO$64-DO$63)/DO$64*DP224)</f>
        <v>0</v>
      </c>
      <c r="DR224" s="87"/>
      <c r="DS224" s="87">
        <f t="shared" si="557"/>
        <v>0</v>
      </c>
      <c r="DT224" s="77" t="str">
        <f t="shared" si="558"/>
        <v xml:space="preserve">   </v>
      </c>
      <c r="DU224" s="87">
        <f>IF(OR($A224&gt;DS$58, $A224&lt;DS$51), 0, SUM(DS224:DS$242)*DT224*DS$63/DS$64+SUM(DS225:DS$242)*(DS$64-DS$63)/DS$64*DT224)</f>
        <v>0</v>
      </c>
      <c r="DV224" s="87"/>
      <c r="DW224" s="165">
        <f t="shared" si="571"/>
        <v>3140000</v>
      </c>
      <c r="DX224" s="165">
        <f t="shared" si="568"/>
        <v>1193462</v>
      </c>
      <c r="DY224" s="87"/>
      <c r="DZ224" s="53">
        <f t="shared" si="559"/>
        <v>2042</v>
      </c>
      <c r="EA224" s="35">
        <f t="shared" si="560"/>
        <v>3140000</v>
      </c>
      <c r="EB224" s="35">
        <f t="shared" si="561"/>
        <v>1193462</v>
      </c>
      <c r="EC224" s="35">
        <f t="shared" si="570"/>
        <v>18913000</v>
      </c>
      <c r="ED224" s="143">
        <f t="shared" si="569"/>
        <v>19</v>
      </c>
      <c r="EE224"/>
    </row>
    <row r="225" spans="1:135" s="33" customFormat="1" outlineLevel="1">
      <c r="A225" s="7">
        <f t="shared" si="562"/>
        <v>2043</v>
      </c>
      <c r="B225" s="151">
        <f>Assumptions!B27</f>
        <v>5.3800000000000001E-2</v>
      </c>
      <c r="C225" s="151">
        <f>Assumptions!C27</f>
        <v>5.3800000000000001E-2</v>
      </c>
      <c r="D225" s="151">
        <f>Assumptions!D27</f>
        <v>3.5000000000000003E-2</v>
      </c>
      <c r="E225" s="151">
        <f>Assumptions!E27</f>
        <v>5.2999999999999999E-2</v>
      </c>
      <c r="F225" s="8"/>
      <c r="G225" s="8"/>
      <c r="H225" s="8"/>
      <c r="I225" s="8"/>
      <c r="J225" s="8"/>
      <c r="K225" s="8"/>
      <c r="L225" s="8"/>
      <c r="M225" s="87">
        <f t="shared" si="504"/>
        <v>0</v>
      </c>
      <c r="N225" s="77" t="str">
        <f t="shared" si="505"/>
        <v xml:space="preserve">   </v>
      </c>
      <c r="O225" s="87">
        <f>IF($A225&gt;'Debt Service'!M$58, 0, SUM(M225:M$242)*N225*M$63/M$64+SUM(M226:M$242)*(M$64-M$63)/M$64*N225)</f>
        <v>0</v>
      </c>
      <c r="P225" s="35"/>
      <c r="Q225" s="87">
        <f t="shared" si="506"/>
        <v>0</v>
      </c>
      <c r="R225" s="77" t="str">
        <f t="shared" si="507"/>
        <v xml:space="preserve">   </v>
      </c>
      <c r="S225" s="87">
        <f>IF($A225&gt;'Debt Service'!Q$58, 0, SUM(Q225:Q$242)*R225*Q$63/Q$64+SUM(Q226:Q$242)*(Q$64-Q$63)/Q$64*R225)</f>
        <v>0</v>
      </c>
      <c r="T225" s="35"/>
      <c r="U225" s="35">
        <f t="shared" si="508"/>
        <v>0</v>
      </c>
      <c r="V225" s="35">
        <f t="shared" si="509"/>
        <v>0</v>
      </c>
      <c r="W225" s="2"/>
      <c r="X225" s="87">
        <f t="shared" si="510"/>
        <v>0</v>
      </c>
      <c r="Y225" s="77" t="str">
        <f t="shared" si="511"/>
        <v xml:space="preserve">   </v>
      </c>
      <c r="Z225" s="87">
        <f>IF($A225&gt;'Debt Service'!X$58, 0, SUM(X225:X$242)*Y225*X$63/X$64+SUM(X226:X$242)*(X$64-X$63)/X$64*Y225)</f>
        <v>0</v>
      </c>
      <c r="AA225" s="87"/>
      <c r="AB225" s="87">
        <f t="shared" si="512"/>
        <v>0</v>
      </c>
      <c r="AC225" s="77" t="str">
        <f t="shared" si="513"/>
        <v xml:space="preserve">   </v>
      </c>
      <c r="AD225" s="87">
        <f>IF($A225&gt;'Debt Service'!AB$58, 0, SUM(AB225:AB$242)*AC225*AB$63/AB$64+SUM(AB226:AB$242)*(AB$64-AB$63)/AB$64*AC225)</f>
        <v>0</v>
      </c>
      <c r="AE225" s="35"/>
      <c r="AF225" s="87">
        <f t="shared" si="514"/>
        <v>0</v>
      </c>
      <c r="AG225" s="77" t="str">
        <f t="shared" si="515"/>
        <v xml:space="preserve">   </v>
      </c>
      <c r="AH225" s="87">
        <f>IF($A225&gt;'Debt Service'!AF$58, 0, SUM(AF225:AF$242)*AG225*AF$63/AF$64+SUM(AF226:AF$242)*(AF$64-AF$63)/AF$64*AG225)</f>
        <v>0</v>
      </c>
      <c r="AI225" s="35"/>
      <c r="AJ225" s="87">
        <f t="shared" si="516"/>
        <v>0</v>
      </c>
      <c r="AK225" s="77" t="str">
        <f t="shared" si="517"/>
        <v xml:space="preserve">   </v>
      </c>
      <c r="AL225" s="87">
        <f>IF($A225&gt;'Debt Service'!AJ$58, 0, SUM(AJ225:AJ$242)*AK225*AJ$63/AJ$64+SUM(AJ226:AJ$242)*(AJ$64-AJ$63)/AJ$64*AK225)</f>
        <v>0</v>
      </c>
      <c r="AM225" s="35"/>
      <c r="AN225" s="87"/>
      <c r="AO225" s="77" t="str">
        <f t="shared" si="518"/>
        <v xml:space="preserve">   </v>
      </c>
      <c r="AP225" s="87">
        <f>IF($A225&gt;'Debt Service'!AN$58, 0, SUM(AN225:AN$242)*AO225*AN$63/AN$64+SUM(AN226:AN$242)*(AN$64-AN$63)/AN$64*AO225)</f>
        <v>0</v>
      </c>
      <c r="AQ225" s="35"/>
      <c r="AR225" s="87">
        <f t="shared" si="519"/>
        <v>0</v>
      </c>
      <c r="AS225" s="77" t="str">
        <f t="shared" si="520"/>
        <v xml:space="preserve">   </v>
      </c>
      <c r="AT225" s="87">
        <f>IF($A225&gt;'Debt Service'!AR$58, 0, SUM(AR225:AR$242)*AS225*AR$63/AR$64+SUM(AR226:AR$242)*(AR$64-AR$63)/AR$64*AS225)</f>
        <v>0</v>
      </c>
      <c r="AV225" s="35">
        <f t="shared" si="521"/>
        <v>0</v>
      </c>
      <c r="AW225" s="35">
        <f t="shared" si="522"/>
        <v>0</v>
      </c>
      <c r="AX225" s="35"/>
      <c r="AY225" s="87">
        <f t="shared" si="523"/>
        <v>0</v>
      </c>
      <c r="AZ225" s="77" t="str">
        <f t="shared" si="524"/>
        <v xml:space="preserve">   </v>
      </c>
      <c r="BA225" s="87">
        <f>IF($A225&gt;'Debt Service'!AY$58, 0, SUM(AY225:AY$242)*AZ225*AY$63/AY$64+SUM(AY226:AY$242)*(AY$64-AY$63)/AY$64*AZ225)</f>
        <v>0</v>
      </c>
      <c r="BB225" s="61"/>
      <c r="BC225" s="87">
        <f t="shared" si="525"/>
        <v>0</v>
      </c>
      <c r="BD225" s="77">
        <f t="shared" si="526"/>
        <v>6.0999999999999999E-2</v>
      </c>
      <c r="BE225" s="87">
        <f>IF($A225&gt;'Debt Service'!BC$58, 0, SUM(BC225:BC$242)*BD225*BC$63/BC$64+SUM(BC226:BC$242)*(BC$64-BC$63)/BC$64*BD225)</f>
        <v>97539</v>
      </c>
      <c r="BF225" s="61"/>
      <c r="BG225" s="87">
        <f t="shared" si="527"/>
        <v>0</v>
      </c>
      <c r="BH225" s="77">
        <f t="shared" si="528"/>
        <v>6.0999999999999999E-2</v>
      </c>
      <c r="BI225" s="87">
        <f>IF($A225&gt;'Debt Service'!BG$58, 0, SUM(BG225:BG$242)*BH225*BG$63/BG$64+SUM(BG226:BG$242)*(BG$64-BG$63)/BG$64*BH225)</f>
        <v>249063</v>
      </c>
      <c r="BJ225" s="61"/>
      <c r="BK225" s="35">
        <f t="shared" si="563"/>
        <v>0</v>
      </c>
      <c r="BL225" s="35">
        <f t="shared" si="564"/>
        <v>346602</v>
      </c>
      <c r="BM225" s="8"/>
      <c r="BN225" s="87">
        <f t="shared" si="529"/>
        <v>0</v>
      </c>
      <c r="BO225" s="77" t="str">
        <f t="shared" si="530"/>
        <v xml:space="preserve">   </v>
      </c>
      <c r="BP225" s="87">
        <f>IF($A225&gt;'Debt Service'!BN$58, 0, SUM(BN225:BN$242)*BO225*BN$63/BN$64+SUM(BN226:BN$242)*(BN$64-BN$63)/BN$64*BO225)</f>
        <v>0</v>
      </c>
      <c r="BQ225" s="77"/>
      <c r="BR225" s="87">
        <f t="shared" si="531"/>
        <v>0</v>
      </c>
      <c r="BS225" s="77">
        <f t="shared" si="532"/>
        <v>5.6799999999999996E-2</v>
      </c>
      <c r="BT225" s="87">
        <f>IF($A225&gt;'Debt Service'!BR$58, 0, SUM(BR225:BR$242)*BS225*BR$63/BR$64+SUM(BR226:BR$242)*(BR$64-BR$63)/BR$64*BS225)</f>
        <v>194710.39999999999</v>
      </c>
      <c r="BU225" s="87"/>
      <c r="BV225" s="35">
        <f t="shared" si="565"/>
        <v>0</v>
      </c>
      <c r="BW225" s="35">
        <f t="shared" si="566"/>
        <v>194710.39999999999</v>
      </c>
      <c r="BX225" s="87"/>
      <c r="BY225" s="87">
        <f t="shared" si="533"/>
        <v>0</v>
      </c>
      <c r="BZ225" s="77" t="str">
        <f t="shared" si="534"/>
        <v xml:space="preserve">   </v>
      </c>
      <c r="CA225" s="87">
        <f>IF($A225&gt;'Debt Service'!BY$58, 0, SUM(BY225:BY$242)*BZ225*BY$63/BY$64+SUM(BY226:BY$242)*(BY$64-BY$63)/BY$64*BZ225)</f>
        <v>0</v>
      </c>
      <c r="CB225" s="87"/>
      <c r="CC225" s="87">
        <f t="shared" si="535"/>
        <v>0</v>
      </c>
      <c r="CD225" s="77" t="str">
        <f t="shared" si="536"/>
        <v xml:space="preserve">   </v>
      </c>
      <c r="CE225" s="87">
        <f>IF(OR($A225&gt;'Debt Service'!CC$58,$A225&lt;CC$51), 0, SUM(CC225:CC$242)*CD225*CC$63/CC$64+SUM(CC226:CC$242)*(CC$64-CC$63)/CC$64*CD225)</f>
        <v>0</v>
      </c>
      <c r="CF225" s="87"/>
      <c r="CG225" s="87">
        <f t="shared" si="537"/>
        <v>0</v>
      </c>
      <c r="CH225" s="77">
        <f t="shared" si="538"/>
        <v>5.6799999999999996E-2</v>
      </c>
      <c r="CI225" s="87">
        <f>IF(OR($A225&gt;'Debt Service'!CG$58,$A225&lt;CG$51), 0, SUM(CG225:CG$242)*CH225*CG$63/CG$64+SUM(CG226:CG$242)*(CG$64-CG$63)/CG$64*CH225)</f>
        <v>180453.59999999998</v>
      </c>
      <c r="CJ225" s="87"/>
      <c r="CK225" s="87">
        <f t="shared" si="539"/>
        <v>0</v>
      </c>
      <c r="CL225" s="77">
        <f t="shared" si="540"/>
        <v>6.0999999999999999E-2</v>
      </c>
      <c r="CM225" s="87">
        <f>IF(OR($A225&gt;'Debt Service'!CK$58,$A225&lt;CK$51), 0, SUM(CK225:CK$242)*CL225*CK$63/CK$64+SUM(CK226:CK$242)*(CK$64-CK$63)/CK$64*CL225)</f>
        <v>198067</v>
      </c>
      <c r="CN225" s="87"/>
      <c r="CO225" s="162">
        <f t="shared" si="541"/>
        <v>0</v>
      </c>
      <c r="CP225" s="87">
        <f t="shared" si="542"/>
        <v>378520.6</v>
      </c>
      <c r="CQ225" s="87"/>
      <c r="CR225" s="87">
        <f t="shared" si="543"/>
        <v>0</v>
      </c>
      <c r="CS225" s="77" t="str">
        <f t="shared" si="544"/>
        <v xml:space="preserve">   </v>
      </c>
      <c r="CT225" s="87">
        <f>IF(OR($A225&gt;'Debt Service'!CR$58,$A225&lt;CR$51), 0, SUM(CR225:CR$242)*CS225*CR$63/CR$64+SUM(CR226:CR$242)*(CR$64-CR$63)/CR$64*CS225)</f>
        <v>0</v>
      </c>
      <c r="CU225" s="87"/>
      <c r="CV225" s="87">
        <f t="shared" si="545"/>
        <v>0</v>
      </c>
      <c r="CW225" s="77">
        <f t="shared" si="546"/>
        <v>6.0999999999999999E-2</v>
      </c>
      <c r="CX225" s="87">
        <f>IF(OR($A225&gt;'Debt Service'!CV$58,$A225&lt;CV$51), 0, SUM(CV225:CV$242)*CW225*CV$63/CV$64+SUM(CV226:CV$242)*(CV$64-CV$63)/CV$64*CW225)</f>
        <v>206119</v>
      </c>
      <c r="CY225" s="87"/>
      <c r="CZ225" s="165">
        <f t="shared" si="547"/>
        <v>0</v>
      </c>
      <c r="DA225" s="165">
        <f t="shared" si="548"/>
        <v>206119</v>
      </c>
      <c r="DB225" s="87"/>
      <c r="DC225" s="87">
        <f t="shared" si="549"/>
        <v>0</v>
      </c>
      <c r="DD225" s="77" t="str">
        <f t="shared" si="550"/>
        <v xml:space="preserve">   </v>
      </c>
      <c r="DE225" s="87">
        <f>IF(OR($A225&gt;DC$191, $A225&lt;DC$51), 0, SUM(DC225:DC$242)*DD225*DC$63/DC$64+SUM(DC226:DC$242)*(DC$64-DC$63)/DC$64*DD225)</f>
        <v>0</v>
      </c>
      <c r="DF225" s="87"/>
      <c r="DG225" s="87">
        <f t="shared" si="551"/>
        <v>0</v>
      </c>
      <c r="DH225" s="77" t="str">
        <f t="shared" si="552"/>
        <v xml:space="preserve">   </v>
      </c>
      <c r="DI225" s="87">
        <f>IF(OR($A225&gt;DG$58, $A225&lt;DG$51), 0, SUM(DG225:DG$242)*DH225*DG$63/DG$64+SUM(DG226:DG$242)*(DG$64-DG$63)/DG$64*DH225)</f>
        <v>0</v>
      </c>
      <c r="DJ225" s="87"/>
      <c r="DK225" s="87">
        <f t="shared" si="553"/>
        <v>0</v>
      </c>
      <c r="DL225" s="77" t="str">
        <f t="shared" si="554"/>
        <v xml:space="preserve">   </v>
      </c>
      <c r="DM225" s="87">
        <f>IF(OR($A225&gt;DK$58, $A225&lt;DK$51), 0, SUM(DK225:DK$242)*DL225*DK$63/DK$64+SUM(DK226:DK$242)*(DK$64-DK$63)/DK$64*DL225)</f>
        <v>0</v>
      </c>
      <c r="DN225" s="87"/>
      <c r="DO225" s="87">
        <f t="shared" si="555"/>
        <v>0</v>
      </c>
      <c r="DP225" s="77" t="str">
        <f t="shared" si="556"/>
        <v xml:space="preserve">   </v>
      </c>
      <c r="DQ225" s="87">
        <f>IF(OR($A225&gt;DO$58, $A225&lt;DO$51), 0, SUM(DO225:DO$242)*DP225*DO$63/DO$64+SUM(DO226:DO$242)*(DO$64-DO$63)/DO$64*DP225)</f>
        <v>0</v>
      </c>
      <c r="DR225" s="87"/>
      <c r="DS225" s="87">
        <f t="shared" si="557"/>
        <v>0</v>
      </c>
      <c r="DT225" s="77" t="str">
        <f t="shared" si="558"/>
        <v xml:space="preserve">   </v>
      </c>
      <c r="DU225" s="87">
        <f>IF(OR($A225&gt;DS$58, $A225&lt;DS$51), 0, SUM(DS225:DS$242)*DT225*DS$63/DS$64+SUM(DS226:DS$242)*(DS$64-DS$63)/DS$64*DT225)</f>
        <v>0</v>
      </c>
      <c r="DV225" s="87"/>
      <c r="DW225" s="165">
        <f t="shared" si="571"/>
        <v>0</v>
      </c>
      <c r="DX225" s="165">
        <f t="shared" si="568"/>
        <v>1125952</v>
      </c>
      <c r="DY225" s="87"/>
      <c r="DZ225" s="53">
        <f t="shared" si="559"/>
        <v>2043</v>
      </c>
      <c r="EA225" s="35">
        <f t="shared" si="560"/>
        <v>0</v>
      </c>
      <c r="EB225" s="35">
        <f t="shared" si="561"/>
        <v>1125952</v>
      </c>
      <c r="EC225" s="35">
        <f t="shared" si="570"/>
        <v>18913000</v>
      </c>
      <c r="ED225" s="143">
        <f t="shared" si="569"/>
        <v>20</v>
      </c>
      <c r="EE225"/>
    </row>
    <row r="226" spans="1:135" s="33" customFormat="1" outlineLevel="1">
      <c r="A226" s="7">
        <f t="shared" si="562"/>
        <v>2044</v>
      </c>
      <c r="B226" s="151">
        <f>Assumptions!B28</f>
        <v>5.3800000000000001E-2</v>
      </c>
      <c r="C226" s="151">
        <f>Assumptions!C28</f>
        <v>5.3800000000000001E-2</v>
      </c>
      <c r="D226" s="151">
        <f>Assumptions!D28</f>
        <v>3.5000000000000003E-2</v>
      </c>
      <c r="E226" s="151">
        <f>Assumptions!E28</f>
        <v>5.2999999999999999E-2</v>
      </c>
      <c r="F226" s="8"/>
      <c r="G226" s="8"/>
      <c r="H226" s="8"/>
      <c r="I226" s="8"/>
      <c r="J226" s="8"/>
      <c r="K226" s="8"/>
      <c r="L226" s="8"/>
      <c r="M226" s="87">
        <f t="shared" si="504"/>
        <v>0</v>
      </c>
      <c r="N226" s="77" t="str">
        <f t="shared" si="505"/>
        <v xml:space="preserve">   </v>
      </c>
      <c r="O226" s="87">
        <f>IF($A226&gt;'Debt Service'!M$58, 0, SUM(M226:M$242)*N226*M$63/M$64+SUM(M227:M$242)*(M$64-M$63)/M$64*N226)</f>
        <v>0</v>
      </c>
      <c r="P226" s="35"/>
      <c r="Q226" s="87">
        <f t="shared" si="506"/>
        <v>0</v>
      </c>
      <c r="R226" s="77" t="str">
        <f t="shared" si="507"/>
        <v xml:space="preserve">   </v>
      </c>
      <c r="S226" s="87">
        <f>IF($A226&gt;'Debt Service'!Q$58, 0, SUM(Q226:Q$242)*R226*Q$63/Q$64+SUM(Q227:Q$242)*(Q$64-Q$63)/Q$64*R226)</f>
        <v>0</v>
      </c>
      <c r="T226" s="35"/>
      <c r="U226" s="35">
        <f t="shared" si="508"/>
        <v>0</v>
      </c>
      <c r="V226" s="35">
        <f t="shared" si="509"/>
        <v>0</v>
      </c>
      <c r="W226" s="35"/>
      <c r="X226" s="87">
        <f t="shared" si="510"/>
        <v>0</v>
      </c>
      <c r="Y226" s="77" t="str">
        <f t="shared" si="511"/>
        <v xml:space="preserve">   </v>
      </c>
      <c r="Z226" s="87">
        <f>IF($A226&gt;'Debt Service'!X$58, 0, SUM(X226:X$242)*Y226*X$63/X$64+SUM(X227:X$242)*(X$64-X$63)/X$64*Y226)</f>
        <v>0</v>
      </c>
      <c r="AA226" s="87"/>
      <c r="AB226" s="87">
        <f t="shared" si="512"/>
        <v>0</v>
      </c>
      <c r="AC226" s="77" t="str">
        <f t="shared" si="513"/>
        <v xml:space="preserve">   </v>
      </c>
      <c r="AD226" s="87">
        <f>IF($A226&gt;'Debt Service'!AB$58, 0, SUM(AB226:AB$242)*AC226*AB$63/AB$64+SUM(AB227:AB$242)*(AB$64-AB$63)/AB$64*AC226)</f>
        <v>0</v>
      </c>
      <c r="AE226" s="35"/>
      <c r="AF226" s="87">
        <f t="shared" si="514"/>
        <v>0</v>
      </c>
      <c r="AG226" s="77" t="str">
        <f t="shared" si="515"/>
        <v xml:space="preserve">   </v>
      </c>
      <c r="AH226" s="87">
        <f>IF($A226&gt;'Debt Service'!AF$58, 0, SUM(AF226:AF$242)*AG226*AF$63/AF$64+SUM(AF227:AF$242)*(AF$64-AF$63)/AF$64*AG226)</f>
        <v>0</v>
      </c>
      <c r="AI226" s="35"/>
      <c r="AJ226" s="87">
        <f t="shared" si="516"/>
        <v>0</v>
      </c>
      <c r="AK226" s="77" t="str">
        <f t="shared" si="517"/>
        <v xml:space="preserve">   </v>
      </c>
      <c r="AL226" s="87">
        <f>IF($A226&gt;'Debt Service'!AJ$58, 0, SUM(AJ226:AJ$242)*AK226*AJ$63/AJ$64+SUM(AJ227:AJ$242)*(AJ$64-AJ$63)/AJ$64*AK226)</f>
        <v>0</v>
      </c>
      <c r="AM226" s="35"/>
      <c r="AN226" s="87"/>
      <c r="AO226" s="77" t="str">
        <f t="shared" si="518"/>
        <v xml:space="preserve">   </v>
      </c>
      <c r="AP226" s="87">
        <f>IF($A226&gt;'Debt Service'!AN$58, 0, SUM(AN226:AN$242)*AO226*AN$63/AN$64+SUM(AN227:AN$242)*(AN$64-AN$63)/AN$64*AO226)</f>
        <v>0</v>
      </c>
      <c r="AQ226" s="35"/>
      <c r="AR226" s="87">
        <f t="shared" si="519"/>
        <v>0</v>
      </c>
      <c r="AS226" s="77" t="str">
        <f t="shared" si="520"/>
        <v xml:space="preserve">   </v>
      </c>
      <c r="AT226" s="87">
        <f>IF($A226&gt;'Debt Service'!AR$58, 0, SUM(AR226:AR$242)*AS226*AR$63/AR$64+SUM(AR227:AR$242)*(AR$64-AR$63)/AR$64*AS226)</f>
        <v>0</v>
      </c>
      <c r="AV226" s="35">
        <f t="shared" si="521"/>
        <v>0</v>
      </c>
      <c r="AW226" s="35">
        <f t="shared" si="522"/>
        <v>0</v>
      </c>
      <c r="AX226" s="35"/>
      <c r="AY226" s="87">
        <f t="shared" si="523"/>
        <v>0</v>
      </c>
      <c r="AZ226" s="77" t="str">
        <f t="shared" si="524"/>
        <v xml:space="preserve">   </v>
      </c>
      <c r="BA226" s="87">
        <f>IF($A226&gt;'Debt Service'!AY$58, 0, SUM(AY226:AY$242)*AZ226*AY$63/AY$64+SUM(AY227:AY$242)*(AY$64-AY$63)/AY$64*AZ226)</f>
        <v>0</v>
      </c>
      <c r="BB226" s="61"/>
      <c r="BC226" s="87">
        <f t="shared" si="525"/>
        <v>0</v>
      </c>
      <c r="BD226" s="77">
        <f t="shared" si="526"/>
        <v>6.0999999999999999E-2</v>
      </c>
      <c r="BE226" s="87">
        <f>IF($A226&gt;'Debt Service'!BC$58, 0, SUM(BC226:BC$242)*BD226*BC$63/BC$64+SUM(BC227:BC$242)*(BC$64-BC$63)/BC$64*BD226)</f>
        <v>97539</v>
      </c>
      <c r="BF226" s="61"/>
      <c r="BG226" s="87">
        <f t="shared" si="527"/>
        <v>0</v>
      </c>
      <c r="BH226" s="77">
        <f t="shared" si="528"/>
        <v>6.0999999999999999E-2</v>
      </c>
      <c r="BI226" s="87">
        <f>IF($A226&gt;'Debt Service'!BG$58, 0, SUM(BG226:BG$242)*BH226*BG$63/BG$64+SUM(BG227:BG$242)*(BG$64-BG$63)/BG$64*BH226)</f>
        <v>249063</v>
      </c>
      <c r="BJ226" s="61"/>
      <c r="BK226" s="35">
        <f t="shared" si="563"/>
        <v>0</v>
      </c>
      <c r="BL226" s="35">
        <f t="shared" si="564"/>
        <v>346602</v>
      </c>
      <c r="BM226" s="8"/>
      <c r="BN226" s="87">
        <f t="shared" si="529"/>
        <v>0</v>
      </c>
      <c r="BO226" s="77" t="str">
        <f t="shared" si="530"/>
        <v xml:space="preserve">   </v>
      </c>
      <c r="BP226" s="87">
        <f>IF($A226&gt;'Debt Service'!BN$58, 0, SUM(BN226:BN$242)*BO226*BN$63/BN$64+SUM(BN227:BN$242)*(BN$64-BN$63)/BN$64*BO226)</f>
        <v>0</v>
      </c>
      <c r="BQ226" s="77"/>
      <c r="BR226" s="87">
        <f t="shared" si="531"/>
        <v>0</v>
      </c>
      <c r="BS226" s="77">
        <f t="shared" si="532"/>
        <v>5.6799999999999996E-2</v>
      </c>
      <c r="BT226" s="87">
        <f>IF($A226&gt;'Debt Service'!BR$58, 0, SUM(BR226:BR$242)*BS226*BR$63/BR$64+SUM(BR227:BR$242)*(BR$64-BR$63)/BR$64*BS226)</f>
        <v>194710.39999999999</v>
      </c>
      <c r="BU226" s="87"/>
      <c r="BV226" s="35">
        <f t="shared" si="565"/>
        <v>0</v>
      </c>
      <c r="BW226" s="35">
        <f t="shared" si="566"/>
        <v>194710.39999999999</v>
      </c>
      <c r="BX226" s="87"/>
      <c r="BY226" s="87">
        <f t="shared" si="533"/>
        <v>0</v>
      </c>
      <c r="BZ226" s="77" t="str">
        <f t="shared" si="534"/>
        <v xml:space="preserve">   </v>
      </c>
      <c r="CA226" s="87">
        <f>IF($A226&gt;'Debt Service'!BY$58, 0, SUM(BY226:BY$242)*BZ226*BY$63/BY$64+SUM(BY227:BY$242)*(BY$64-BY$63)/BY$64*BZ226)</f>
        <v>0</v>
      </c>
      <c r="CB226" s="87"/>
      <c r="CC226" s="87">
        <f t="shared" si="535"/>
        <v>0</v>
      </c>
      <c r="CD226" s="77" t="str">
        <f t="shared" si="536"/>
        <v xml:space="preserve">   </v>
      </c>
      <c r="CE226" s="87">
        <f>IF(OR($A226&gt;'Debt Service'!CC$58,$A226&lt;CC$51), 0, SUM(CC226:CC$242)*CD226*CC$63/CC$64+SUM(CC227:CC$242)*(CC$64-CC$63)/CC$64*CD226)</f>
        <v>0</v>
      </c>
      <c r="CF226" s="87"/>
      <c r="CG226" s="87">
        <f t="shared" si="537"/>
        <v>0</v>
      </c>
      <c r="CH226" s="77">
        <f t="shared" si="538"/>
        <v>5.6799999999999996E-2</v>
      </c>
      <c r="CI226" s="87">
        <f>IF(OR($A226&gt;'Debt Service'!CG$58,$A226&lt;CG$51), 0, SUM(CG226:CG$242)*CH226*CG$63/CG$64+SUM(CG227:CG$242)*(CG$64-CG$63)/CG$64*CH226)</f>
        <v>180453.59999999998</v>
      </c>
      <c r="CJ226" s="87"/>
      <c r="CK226" s="87">
        <f t="shared" si="539"/>
        <v>0</v>
      </c>
      <c r="CL226" s="77">
        <f t="shared" si="540"/>
        <v>6.0999999999999999E-2</v>
      </c>
      <c r="CM226" s="87">
        <f>IF(OR($A226&gt;'Debt Service'!CK$58,$A226&lt;CK$51), 0, SUM(CK226:CK$242)*CL226*CK$63/CK$64+SUM(CK227:CK$242)*(CK$64-CK$63)/CK$64*CL226)</f>
        <v>198067</v>
      </c>
      <c r="CN226" s="87"/>
      <c r="CO226" s="162">
        <f t="shared" si="541"/>
        <v>0</v>
      </c>
      <c r="CP226" s="87">
        <f t="shared" si="542"/>
        <v>378520.6</v>
      </c>
      <c r="CQ226" s="87"/>
      <c r="CR226" s="87">
        <f t="shared" si="543"/>
        <v>0</v>
      </c>
      <c r="CS226" s="77" t="str">
        <f t="shared" si="544"/>
        <v xml:space="preserve">   </v>
      </c>
      <c r="CT226" s="87">
        <f>IF(OR($A226&gt;'Debt Service'!CR$58,$A226&lt;CR$51), 0, SUM(CR226:CR$242)*CS226*CR$63/CR$64+SUM(CR227:CR$242)*(CR$64-CR$63)/CR$64*CS226)</f>
        <v>0</v>
      </c>
      <c r="CU226" s="87"/>
      <c r="CV226" s="87">
        <f t="shared" si="545"/>
        <v>0</v>
      </c>
      <c r="CW226" s="77">
        <f t="shared" si="546"/>
        <v>6.0999999999999999E-2</v>
      </c>
      <c r="CX226" s="87">
        <f>IF(OR($A226&gt;'Debt Service'!CV$58,$A226&lt;CV$51), 0, SUM(CV226:CV$242)*CW226*CV$63/CV$64+SUM(CV227:CV$242)*(CV$64-CV$63)/CV$64*CW226)</f>
        <v>206119</v>
      </c>
      <c r="CY226" s="87"/>
      <c r="CZ226" s="165">
        <f t="shared" si="547"/>
        <v>0</v>
      </c>
      <c r="DA226" s="165">
        <f t="shared" si="548"/>
        <v>206119</v>
      </c>
      <c r="DB226" s="87"/>
      <c r="DC226" s="87">
        <f t="shared" si="549"/>
        <v>0</v>
      </c>
      <c r="DD226" s="77" t="str">
        <f t="shared" si="550"/>
        <v xml:space="preserve">   </v>
      </c>
      <c r="DE226" s="87">
        <f>IF(OR($A226&gt;DC$191, $A226&lt;DC$51), 0, SUM(DC226:DC$242)*DD226*DC$63/DC$64+SUM(DC227:DC$242)*(DC$64-DC$63)/DC$64*DD226)</f>
        <v>0</v>
      </c>
      <c r="DF226" s="87"/>
      <c r="DG226" s="87">
        <f t="shared" si="551"/>
        <v>0</v>
      </c>
      <c r="DH226" s="77" t="str">
        <f t="shared" si="552"/>
        <v xml:space="preserve">   </v>
      </c>
      <c r="DI226" s="87">
        <f>IF(OR($A226&gt;DG$58, $A226&lt;DG$51), 0, SUM(DG226:DG$242)*DH226*DG$63/DG$64+SUM(DG227:DG$242)*(DG$64-DG$63)/DG$64*DH226)</f>
        <v>0</v>
      </c>
      <c r="DJ226" s="87"/>
      <c r="DK226" s="87">
        <f t="shared" si="553"/>
        <v>0</v>
      </c>
      <c r="DL226" s="77" t="str">
        <f t="shared" si="554"/>
        <v xml:space="preserve">   </v>
      </c>
      <c r="DM226" s="87">
        <f>IF(OR($A226&gt;DK$58, $A226&lt;DK$51), 0, SUM(DK226:DK$242)*DL226*DK$63/DK$64+SUM(DK227:DK$242)*(DK$64-DK$63)/DK$64*DL226)</f>
        <v>0</v>
      </c>
      <c r="DN226" s="87"/>
      <c r="DO226" s="87">
        <f t="shared" si="555"/>
        <v>0</v>
      </c>
      <c r="DP226" s="77" t="str">
        <f t="shared" si="556"/>
        <v xml:space="preserve">   </v>
      </c>
      <c r="DQ226" s="87">
        <f>IF(OR($A226&gt;DO$58, $A226&lt;DO$51), 0, SUM(DO226:DO$242)*DP226*DO$63/DO$64+SUM(DO227:DO$242)*(DO$64-DO$63)/DO$64*DP226)</f>
        <v>0</v>
      </c>
      <c r="DR226" s="87"/>
      <c r="DS226" s="87">
        <f t="shared" si="557"/>
        <v>0</v>
      </c>
      <c r="DT226" s="77" t="str">
        <f t="shared" si="558"/>
        <v xml:space="preserve">   </v>
      </c>
      <c r="DU226" s="87">
        <f>IF(OR($A226&gt;DS$58, $A226&lt;DS$51), 0, SUM(DS226:DS$242)*DT226*DS$63/DS$64+SUM(DS227:DS$242)*(DS$64-DS$63)/DS$64*DT226)</f>
        <v>0</v>
      </c>
      <c r="DV226" s="87"/>
      <c r="DW226" s="165">
        <f t="shared" si="571"/>
        <v>0</v>
      </c>
      <c r="DX226" s="165">
        <f t="shared" si="568"/>
        <v>1125952</v>
      </c>
      <c r="DY226" s="87"/>
      <c r="DZ226" s="53">
        <f t="shared" si="559"/>
        <v>2044</v>
      </c>
      <c r="EA226" s="35">
        <f t="shared" si="560"/>
        <v>0</v>
      </c>
      <c r="EB226" s="35">
        <f t="shared" si="561"/>
        <v>1125952</v>
      </c>
      <c r="EC226" s="35">
        <f t="shared" si="570"/>
        <v>18913000</v>
      </c>
      <c r="ED226" s="143">
        <f t="shared" si="569"/>
        <v>21</v>
      </c>
      <c r="EE226"/>
    </row>
    <row r="227" spans="1:135" s="33" customFormat="1" outlineLevel="1">
      <c r="A227" s="7">
        <f t="shared" si="562"/>
        <v>2045</v>
      </c>
      <c r="B227" s="151">
        <f>Assumptions!B29</f>
        <v>5.3800000000000001E-2</v>
      </c>
      <c r="C227" s="151">
        <f>Assumptions!C29</f>
        <v>5.3800000000000001E-2</v>
      </c>
      <c r="D227" s="151">
        <f>Assumptions!D29</f>
        <v>3.5000000000000003E-2</v>
      </c>
      <c r="E227" s="151">
        <f>Assumptions!E29</f>
        <v>5.2999999999999999E-2</v>
      </c>
      <c r="F227" s="8"/>
      <c r="G227" s="8"/>
      <c r="H227" s="8"/>
      <c r="I227" s="8"/>
      <c r="J227" s="8"/>
      <c r="K227" s="8"/>
      <c r="L227" s="8"/>
      <c r="M227" s="87">
        <f t="shared" si="504"/>
        <v>0</v>
      </c>
      <c r="N227" s="77" t="str">
        <f t="shared" si="505"/>
        <v xml:space="preserve">   </v>
      </c>
      <c r="O227" s="87">
        <f>IF($A227&gt;'Debt Service'!M$58, 0, SUM(M227:M$242)*N227*M$63/M$64+SUM(M228:M$242)*(M$64-M$63)/M$64*N227)</f>
        <v>0</v>
      </c>
      <c r="P227" s="35"/>
      <c r="Q227" s="87">
        <f t="shared" si="506"/>
        <v>0</v>
      </c>
      <c r="R227" s="77" t="str">
        <f t="shared" si="507"/>
        <v xml:space="preserve">   </v>
      </c>
      <c r="S227" s="87">
        <f>IF($A227&gt;'Debt Service'!Q$58, 0, SUM(Q227:Q$242)*R227*Q$63/Q$64+SUM(Q228:Q$242)*(Q$64-Q$63)/Q$64*R227)</f>
        <v>0</v>
      </c>
      <c r="T227" s="35"/>
      <c r="U227" s="35">
        <f t="shared" si="508"/>
        <v>0</v>
      </c>
      <c r="V227" s="35">
        <f t="shared" si="509"/>
        <v>0</v>
      </c>
      <c r="W227" s="35"/>
      <c r="X227" s="87">
        <f t="shared" si="510"/>
        <v>0</v>
      </c>
      <c r="Y227" s="77" t="str">
        <f t="shared" si="511"/>
        <v xml:space="preserve">   </v>
      </c>
      <c r="Z227" s="87">
        <f>IF($A227&gt;'Debt Service'!X$58, 0, SUM(X227:X$242)*Y227*X$63/X$64+SUM(X228:X$242)*(X$64-X$63)/X$64*Y227)</f>
        <v>0</v>
      </c>
      <c r="AA227" s="87"/>
      <c r="AB227" s="87">
        <f t="shared" si="512"/>
        <v>0</v>
      </c>
      <c r="AC227" s="77" t="str">
        <f t="shared" si="513"/>
        <v xml:space="preserve">   </v>
      </c>
      <c r="AD227" s="87">
        <f>IF($A227&gt;'Debt Service'!AB$58, 0, SUM(AB227:AB$242)*AC227*AB$63/AB$64+SUM(AB228:AB$242)*(AB$64-AB$63)/AB$64*AC227)</f>
        <v>0</v>
      </c>
      <c r="AE227" s="35"/>
      <c r="AF227" s="87">
        <f t="shared" si="514"/>
        <v>0</v>
      </c>
      <c r="AG227" s="77" t="str">
        <f t="shared" si="515"/>
        <v xml:space="preserve">   </v>
      </c>
      <c r="AH227" s="87">
        <f>IF($A227&gt;'Debt Service'!AF$58, 0, SUM(AF227:AF$242)*AG227*AF$63/AF$64+SUM(AF228:AF$242)*(AF$64-AF$63)/AF$64*AG227)</f>
        <v>0</v>
      </c>
      <c r="AI227" s="35"/>
      <c r="AJ227" s="87">
        <f t="shared" si="516"/>
        <v>0</v>
      </c>
      <c r="AK227" s="77" t="str">
        <f t="shared" si="517"/>
        <v xml:space="preserve">   </v>
      </c>
      <c r="AL227" s="87">
        <f>IF($A227&gt;'Debt Service'!AJ$58, 0, SUM(AJ227:AJ$242)*AK227*AJ$63/AJ$64+SUM(AJ228:AJ$242)*(AJ$64-AJ$63)/AJ$64*AK227)</f>
        <v>0</v>
      </c>
      <c r="AM227" s="35"/>
      <c r="AN227" s="87"/>
      <c r="AO227" s="77" t="str">
        <f t="shared" si="518"/>
        <v xml:space="preserve">   </v>
      </c>
      <c r="AP227" s="87">
        <f>IF($A227&gt;'Debt Service'!AN$58, 0, SUM(AN227:AN$242)*AO227*AN$63/AN$64+SUM(AN228:AN$242)*(AN$64-AN$63)/AN$64*AO227)</f>
        <v>0</v>
      </c>
      <c r="AQ227" s="35"/>
      <c r="AR227" s="87">
        <f t="shared" si="519"/>
        <v>0</v>
      </c>
      <c r="AS227" s="77" t="str">
        <f t="shared" si="520"/>
        <v xml:space="preserve">   </v>
      </c>
      <c r="AT227" s="87">
        <f>IF($A227&gt;'Debt Service'!AR$58, 0, SUM(AR227:AR$242)*AS227*AR$63/AR$64+SUM(AR228:AR$242)*(AR$64-AR$63)/AR$64*AS227)</f>
        <v>0</v>
      </c>
      <c r="AV227" s="35">
        <f t="shared" si="521"/>
        <v>0</v>
      </c>
      <c r="AW227" s="35">
        <f t="shared" si="522"/>
        <v>0</v>
      </c>
      <c r="AX227" s="35"/>
      <c r="AY227" s="87">
        <f t="shared" si="523"/>
        <v>0</v>
      </c>
      <c r="AZ227" s="77" t="str">
        <f t="shared" si="524"/>
        <v xml:space="preserve">   </v>
      </c>
      <c r="BA227" s="87">
        <f>IF($A227&gt;'Debt Service'!AY$58, 0, SUM(AY227:AY$242)*AZ227*AY$63/AY$64+SUM(AY228:AY$242)*(AY$64-AY$63)/AY$64*AZ227)</f>
        <v>0</v>
      </c>
      <c r="BB227" s="61"/>
      <c r="BC227" s="87">
        <f t="shared" si="525"/>
        <v>0</v>
      </c>
      <c r="BD227" s="77">
        <f t="shared" si="526"/>
        <v>6.0999999999999999E-2</v>
      </c>
      <c r="BE227" s="87">
        <f>IF($A227&gt;'Debt Service'!BC$58, 0, SUM(BC227:BC$242)*BD227*BC$63/BC$64+SUM(BC228:BC$242)*(BC$64-BC$63)/BC$64*BD227)</f>
        <v>97539</v>
      </c>
      <c r="BF227" s="61"/>
      <c r="BG227" s="87">
        <f t="shared" si="527"/>
        <v>0</v>
      </c>
      <c r="BH227" s="77">
        <f t="shared" si="528"/>
        <v>6.0999999999999999E-2</v>
      </c>
      <c r="BI227" s="87">
        <f>IF($A227&gt;'Debt Service'!BG$58, 0, SUM(BG227:BG$242)*BH227*BG$63/BG$64+SUM(BG228:BG$242)*(BG$64-BG$63)/BG$64*BH227)</f>
        <v>249063</v>
      </c>
      <c r="BJ227" s="61"/>
      <c r="BK227" s="35">
        <f t="shared" si="563"/>
        <v>0</v>
      </c>
      <c r="BL227" s="35">
        <f t="shared" si="564"/>
        <v>346602</v>
      </c>
      <c r="BM227" s="8"/>
      <c r="BN227" s="87">
        <f t="shared" si="529"/>
        <v>0</v>
      </c>
      <c r="BO227" s="77" t="str">
        <f t="shared" si="530"/>
        <v xml:space="preserve">   </v>
      </c>
      <c r="BP227" s="87">
        <f>IF($A227&gt;'Debt Service'!BN$58, 0, SUM(BN227:BN$242)*BO227*BN$63/BN$64+SUM(BN228:BN$242)*(BN$64-BN$63)/BN$64*BO227)</f>
        <v>0</v>
      </c>
      <c r="BQ227" s="77"/>
      <c r="BR227" s="87">
        <f t="shared" si="531"/>
        <v>0</v>
      </c>
      <c r="BS227" s="77">
        <f t="shared" si="532"/>
        <v>5.6799999999999996E-2</v>
      </c>
      <c r="BT227" s="87">
        <f>IF($A227&gt;'Debt Service'!BR$58, 0, SUM(BR227:BR$242)*BS227*BR$63/BR$64+SUM(BR228:BR$242)*(BR$64-BR$63)/BR$64*BS227)</f>
        <v>194710.39999999999</v>
      </c>
      <c r="BU227" s="87"/>
      <c r="BV227" s="35">
        <f t="shared" si="565"/>
        <v>0</v>
      </c>
      <c r="BW227" s="35">
        <f t="shared" si="566"/>
        <v>194710.39999999999</v>
      </c>
      <c r="BX227" s="87"/>
      <c r="BY227" s="87">
        <f t="shared" si="533"/>
        <v>0</v>
      </c>
      <c r="BZ227" s="77" t="str">
        <f t="shared" si="534"/>
        <v xml:space="preserve">   </v>
      </c>
      <c r="CA227" s="87">
        <f>IF($A227&gt;'Debt Service'!BY$58, 0, SUM(BY227:BY$242)*BZ227*BY$63/BY$64+SUM(BY228:BY$242)*(BY$64-BY$63)/BY$64*BZ227)</f>
        <v>0</v>
      </c>
      <c r="CB227" s="87"/>
      <c r="CC227" s="87">
        <f t="shared" si="535"/>
        <v>0</v>
      </c>
      <c r="CD227" s="77" t="str">
        <f t="shared" si="536"/>
        <v xml:space="preserve">   </v>
      </c>
      <c r="CE227" s="87">
        <f>IF(OR($A227&gt;'Debt Service'!CC$58,$A227&lt;CC$51), 0, SUM(CC227:CC$242)*CD227*CC$63/CC$64+SUM(CC228:CC$242)*(CC$64-CC$63)/CC$64*CD227)</f>
        <v>0</v>
      </c>
      <c r="CF227" s="87"/>
      <c r="CG227" s="87">
        <f t="shared" si="537"/>
        <v>0</v>
      </c>
      <c r="CH227" s="77">
        <f t="shared" si="538"/>
        <v>5.6799999999999996E-2</v>
      </c>
      <c r="CI227" s="87">
        <f>IF(OR($A227&gt;'Debt Service'!CG$58,$A227&lt;CG$51), 0, SUM(CG227:CG$242)*CH227*CG$63/CG$64+SUM(CG228:CG$242)*(CG$64-CG$63)/CG$64*CH227)</f>
        <v>180453.59999999998</v>
      </c>
      <c r="CJ227" s="87"/>
      <c r="CK227" s="87">
        <f t="shared" si="539"/>
        <v>0</v>
      </c>
      <c r="CL227" s="77">
        <f t="shared" si="540"/>
        <v>6.0999999999999999E-2</v>
      </c>
      <c r="CM227" s="87">
        <f>IF(OR($A227&gt;'Debt Service'!CK$58,$A227&lt;CK$51), 0, SUM(CK227:CK$242)*CL227*CK$63/CK$64+SUM(CK228:CK$242)*(CK$64-CK$63)/CK$64*CL227)</f>
        <v>198067</v>
      </c>
      <c r="CN227" s="87"/>
      <c r="CO227" s="162">
        <f t="shared" si="541"/>
        <v>0</v>
      </c>
      <c r="CP227" s="87">
        <f t="shared" si="542"/>
        <v>378520.6</v>
      </c>
      <c r="CQ227" s="87"/>
      <c r="CR227" s="87">
        <f t="shared" si="543"/>
        <v>0</v>
      </c>
      <c r="CS227" s="77" t="str">
        <f t="shared" si="544"/>
        <v xml:space="preserve">   </v>
      </c>
      <c r="CT227" s="87">
        <f>IF(OR($A227&gt;'Debt Service'!CR$58,$A227&lt;CR$51), 0, SUM(CR227:CR$242)*CS227*CR$63/CR$64+SUM(CR228:CR$242)*(CR$64-CR$63)/CR$64*CS227)</f>
        <v>0</v>
      </c>
      <c r="CU227" s="87"/>
      <c r="CV227" s="87">
        <f t="shared" si="545"/>
        <v>0</v>
      </c>
      <c r="CW227" s="77">
        <f t="shared" si="546"/>
        <v>6.0999999999999999E-2</v>
      </c>
      <c r="CX227" s="87">
        <f>IF(OR($A227&gt;'Debt Service'!CV$58,$A227&lt;CV$51), 0, SUM(CV227:CV$242)*CW227*CV$63/CV$64+SUM(CV228:CV$242)*(CV$64-CV$63)/CV$64*CW227)</f>
        <v>206119</v>
      </c>
      <c r="CY227" s="87"/>
      <c r="CZ227" s="165">
        <f t="shared" si="547"/>
        <v>0</v>
      </c>
      <c r="DA227" s="165">
        <f t="shared" si="548"/>
        <v>206119</v>
      </c>
      <c r="DB227" s="87"/>
      <c r="DC227" s="87">
        <f t="shared" si="549"/>
        <v>0</v>
      </c>
      <c r="DD227" s="77" t="str">
        <f t="shared" si="550"/>
        <v xml:space="preserve">   </v>
      </c>
      <c r="DE227" s="87">
        <f>IF(OR($A227&gt;DC$191, $A227&lt;DC$51), 0, SUM(DC227:DC$242)*DD227*DC$63/DC$64+SUM(DC228:DC$242)*(DC$64-DC$63)/DC$64*DD227)</f>
        <v>0</v>
      </c>
      <c r="DF227" s="87"/>
      <c r="DG227" s="87">
        <f t="shared" si="551"/>
        <v>0</v>
      </c>
      <c r="DH227" s="77" t="str">
        <f t="shared" si="552"/>
        <v xml:space="preserve">   </v>
      </c>
      <c r="DI227" s="87">
        <f>IF(OR($A227&gt;DG$58, $A227&lt;DG$51), 0, SUM(DG227:DG$242)*DH227*DG$63/DG$64+SUM(DG228:DG$242)*(DG$64-DG$63)/DG$64*DH227)</f>
        <v>0</v>
      </c>
      <c r="DJ227" s="87"/>
      <c r="DK227" s="87">
        <f t="shared" si="553"/>
        <v>0</v>
      </c>
      <c r="DL227" s="77" t="str">
        <f t="shared" si="554"/>
        <v xml:space="preserve">   </v>
      </c>
      <c r="DM227" s="87">
        <f>IF(OR($A227&gt;DK$58, $A227&lt;DK$51), 0, SUM(DK227:DK$242)*DL227*DK$63/DK$64+SUM(DK228:DK$242)*(DK$64-DK$63)/DK$64*DL227)</f>
        <v>0</v>
      </c>
      <c r="DN227" s="87"/>
      <c r="DO227" s="87">
        <f t="shared" si="555"/>
        <v>0</v>
      </c>
      <c r="DP227" s="77" t="str">
        <f t="shared" si="556"/>
        <v xml:space="preserve">   </v>
      </c>
      <c r="DQ227" s="87">
        <f>IF(OR($A227&gt;DO$58, $A227&lt;DO$51), 0, SUM(DO227:DO$242)*DP227*DO$63/DO$64+SUM(DO228:DO$242)*(DO$64-DO$63)/DO$64*DP227)</f>
        <v>0</v>
      </c>
      <c r="DR227" s="87"/>
      <c r="DS227" s="87">
        <f t="shared" si="557"/>
        <v>0</v>
      </c>
      <c r="DT227" s="77" t="str">
        <f t="shared" si="558"/>
        <v xml:space="preserve">   </v>
      </c>
      <c r="DU227" s="87">
        <f>IF(OR($A227&gt;DS$58, $A227&lt;DS$51), 0, SUM(DS227:DS$242)*DT227*DS$63/DS$64+SUM(DS228:DS$242)*(DS$64-DS$63)/DS$64*DT227)</f>
        <v>0</v>
      </c>
      <c r="DV227" s="87"/>
      <c r="DW227" s="165">
        <f t="shared" si="571"/>
        <v>0</v>
      </c>
      <c r="DX227" s="165">
        <f t="shared" si="568"/>
        <v>1125952</v>
      </c>
      <c r="DY227" s="87"/>
      <c r="DZ227" s="53">
        <f t="shared" si="559"/>
        <v>2045</v>
      </c>
      <c r="EA227" s="35">
        <f t="shared" si="560"/>
        <v>0</v>
      </c>
      <c r="EB227" s="35">
        <f t="shared" si="561"/>
        <v>1125952</v>
      </c>
      <c r="EC227" s="35">
        <f t="shared" si="570"/>
        <v>18913000</v>
      </c>
      <c r="ED227" s="143">
        <f t="shared" si="569"/>
        <v>22</v>
      </c>
      <c r="EE227"/>
    </row>
    <row r="228" spans="1:135" s="33" customFormat="1" outlineLevel="1">
      <c r="A228" s="7">
        <f t="shared" si="562"/>
        <v>2046</v>
      </c>
      <c r="B228" s="151">
        <f>Assumptions!B30</f>
        <v>5.3800000000000001E-2</v>
      </c>
      <c r="C228" s="151">
        <f>Assumptions!C30</f>
        <v>5.3800000000000001E-2</v>
      </c>
      <c r="D228" s="151">
        <f>Assumptions!D30</f>
        <v>3.5000000000000003E-2</v>
      </c>
      <c r="E228" s="151">
        <f>Assumptions!E30</f>
        <v>5.2999999999999999E-2</v>
      </c>
      <c r="F228" s="8"/>
      <c r="G228" s="8"/>
      <c r="H228" s="8"/>
      <c r="I228" s="8"/>
      <c r="J228" s="8"/>
      <c r="K228" s="8"/>
      <c r="L228" s="8"/>
      <c r="M228" s="87">
        <f t="shared" si="504"/>
        <v>0</v>
      </c>
      <c r="N228" s="77" t="str">
        <f t="shared" si="505"/>
        <v xml:space="preserve">   </v>
      </c>
      <c r="O228" s="87">
        <f>IF($A228&gt;'Debt Service'!M$58, 0, SUM(M228:M$242)*N228*M$63/M$64+SUM(M229:M$242)*(M$64-M$63)/M$64*N228)</f>
        <v>0</v>
      </c>
      <c r="P228" s="35"/>
      <c r="Q228" s="87">
        <f t="shared" si="506"/>
        <v>0</v>
      </c>
      <c r="R228" s="77" t="str">
        <f t="shared" si="507"/>
        <v xml:space="preserve">   </v>
      </c>
      <c r="S228" s="87">
        <f>IF($A228&gt;'Debt Service'!Q$58, 0, SUM(Q228:Q$242)*R228*Q$63/Q$64+SUM(Q229:Q$242)*(Q$64-Q$63)/Q$64*R228)</f>
        <v>0</v>
      </c>
      <c r="T228" s="35"/>
      <c r="U228" s="35">
        <f t="shared" si="508"/>
        <v>0</v>
      </c>
      <c r="V228" s="35">
        <f t="shared" si="509"/>
        <v>0</v>
      </c>
      <c r="W228" s="35"/>
      <c r="X228" s="87">
        <f t="shared" si="510"/>
        <v>0</v>
      </c>
      <c r="Y228" s="77" t="str">
        <f t="shared" si="511"/>
        <v xml:space="preserve">   </v>
      </c>
      <c r="Z228" s="87">
        <f>IF($A228&gt;'Debt Service'!X$58, 0, SUM(X228:X$242)*Y228*X$63/X$64+SUM(X229:X$242)*(X$64-X$63)/X$64*Y228)</f>
        <v>0</v>
      </c>
      <c r="AA228" s="87"/>
      <c r="AB228" s="87">
        <f t="shared" si="512"/>
        <v>0</v>
      </c>
      <c r="AC228" s="77" t="str">
        <f t="shared" si="513"/>
        <v xml:space="preserve">   </v>
      </c>
      <c r="AD228" s="87">
        <f>IF($A228&gt;'Debt Service'!AB$58, 0, SUM(AB228:AB$242)*AC228*AB$63/AB$64+SUM(AB229:AB$242)*(AB$64-AB$63)/AB$64*AC228)</f>
        <v>0</v>
      </c>
      <c r="AE228" s="35"/>
      <c r="AF228" s="87">
        <f t="shared" si="514"/>
        <v>0</v>
      </c>
      <c r="AG228" s="77" t="str">
        <f t="shared" si="515"/>
        <v xml:space="preserve">   </v>
      </c>
      <c r="AH228" s="87">
        <f>IF($A228&gt;'Debt Service'!AF$58, 0, SUM(AF228:AF$242)*AG228*AF$63/AF$64+SUM(AF229:AF$242)*(AF$64-AF$63)/AF$64*AG228)</f>
        <v>0</v>
      </c>
      <c r="AI228" s="35"/>
      <c r="AJ228" s="87">
        <f t="shared" si="516"/>
        <v>0</v>
      </c>
      <c r="AK228" s="77" t="str">
        <f t="shared" si="517"/>
        <v xml:space="preserve">   </v>
      </c>
      <c r="AL228" s="87">
        <f>IF($A228&gt;'Debt Service'!AJ$58, 0, SUM(AJ228:AJ$242)*AK228*AJ$63/AJ$64+SUM(AJ229:AJ$242)*(AJ$64-AJ$63)/AJ$64*AK228)</f>
        <v>0</v>
      </c>
      <c r="AM228" s="35"/>
      <c r="AN228" s="87"/>
      <c r="AO228" s="77" t="str">
        <f t="shared" si="518"/>
        <v xml:space="preserve">   </v>
      </c>
      <c r="AP228" s="87">
        <f>IF($A228&gt;'Debt Service'!AN$58, 0, SUM(AN228:AN$242)*AO228*AN$63/AN$64+SUM(AN229:AN$242)*(AN$64-AN$63)/AN$64*AO228)</f>
        <v>0</v>
      </c>
      <c r="AQ228" s="35"/>
      <c r="AR228" s="87">
        <f t="shared" si="519"/>
        <v>0</v>
      </c>
      <c r="AS228" s="77" t="str">
        <f t="shared" si="520"/>
        <v xml:space="preserve">   </v>
      </c>
      <c r="AT228" s="87">
        <f>IF($A228&gt;'Debt Service'!AR$58, 0, SUM(AR228:AR$242)*AS228*AR$63/AR$64+SUM(AR229:AR$242)*(AR$64-AR$63)/AR$64*AS228)</f>
        <v>0</v>
      </c>
      <c r="AV228" s="35">
        <f t="shared" si="521"/>
        <v>0</v>
      </c>
      <c r="AW228" s="35">
        <f t="shared" si="522"/>
        <v>0</v>
      </c>
      <c r="AX228" s="35"/>
      <c r="AY228" s="87">
        <f t="shared" si="523"/>
        <v>0</v>
      </c>
      <c r="AZ228" s="77" t="str">
        <f t="shared" si="524"/>
        <v xml:space="preserve">   </v>
      </c>
      <c r="BA228" s="87">
        <f>IF($A228&gt;'Debt Service'!AY$58, 0, SUM(AY228:AY$242)*AZ228*AY$63/AY$64+SUM(AY229:AY$242)*(AY$64-AY$63)/AY$64*AZ228)</f>
        <v>0</v>
      </c>
      <c r="BB228" s="61"/>
      <c r="BC228" s="87">
        <f t="shared" si="525"/>
        <v>0</v>
      </c>
      <c r="BD228" s="77">
        <f t="shared" si="526"/>
        <v>6.0999999999999999E-2</v>
      </c>
      <c r="BE228" s="87">
        <f>IF($A228&gt;'Debt Service'!BC$58, 0, SUM(BC228:BC$242)*BD228*BC$63/BC$64+SUM(BC229:BC$242)*(BC$64-BC$63)/BC$64*BD228)</f>
        <v>97539</v>
      </c>
      <c r="BF228" s="61"/>
      <c r="BG228" s="87">
        <f t="shared" si="527"/>
        <v>0</v>
      </c>
      <c r="BH228" s="77">
        <f t="shared" si="528"/>
        <v>6.0999999999999999E-2</v>
      </c>
      <c r="BI228" s="87">
        <f>IF($A228&gt;'Debt Service'!BG$58, 0, SUM(BG228:BG$242)*BH228*BG$63/BG$64+SUM(BG229:BG$242)*(BG$64-BG$63)/BG$64*BH228)</f>
        <v>249063</v>
      </c>
      <c r="BJ228" s="61"/>
      <c r="BK228" s="35">
        <f t="shared" si="563"/>
        <v>0</v>
      </c>
      <c r="BL228" s="35">
        <f t="shared" si="564"/>
        <v>346602</v>
      </c>
      <c r="BM228" s="8"/>
      <c r="BN228" s="87">
        <f t="shared" si="529"/>
        <v>0</v>
      </c>
      <c r="BO228" s="77" t="str">
        <f t="shared" si="530"/>
        <v xml:space="preserve">   </v>
      </c>
      <c r="BP228" s="87">
        <f>IF($A228&gt;'Debt Service'!BN$58, 0, SUM(BN228:BN$242)*BO228*BN$63/BN$64+SUM(BN229:BN$242)*(BN$64-BN$63)/BN$64*BO228)</f>
        <v>0</v>
      </c>
      <c r="BQ228" s="77"/>
      <c r="BR228" s="87">
        <f t="shared" si="531"/>
        <v>0</v>
      </c>
      <c r="BS228" s="77">
        <f t="shared" si="532"/>
        <v>5.6799999999999996E-2</v>
      </c>
      <c r="BT228" s="87">
        <f>IF($A228&gt;'Debt Service'!BR$58, 0, SUM(BR228:BR$242)*BS228*BR$63/BR$64+SUM(BR229:BR$242)*(BR$64-BR$63)/BR$64*BS228)</f>
        <v>194710.39999999999</v>
      </c>
      <c r="BU228" s="87"/>
      <c r="BV228" s="35">
        <f t="shared" si="565"/>
        <v>0</v>
      </c>
      <c r="BW228" s="35">
        <f t="shared" si="566"/>
        <v>194710.39999999999</v>
      </c>
      <c r="BX228" s="87"/>
      <c r="BY228" s="87">
        <f t="shared" si="533"/>
        <v>0</v>
      </c>
      <c r="BZ228" s="77" t="str">
        <f t="shared" si="534"/>
        <v xml:space="preserve">   </v>
      </c>
      <c r="CA228" s="87">
        <f>IF($A228&gt;'Debt Service'!BY$58, 0, SUM(BY228:BY$242)*BZ228*BY$63/BY$64+SUM(BY229:BY$242)*(BY$64-BY$63)/BY$64*BZ228)</f>
        <v>0</v>
      </c>
      <c r="CB228" s="87"/>
      <c r="CC228" s="87">
        <f t="shared" si="535"/>
        <v>0</v>
      </c>
      <c r="CD228" s="77" t="str">
        <f t="shared" si="536"/>
        <v xml:space="preserve">   </v>
      </c>
      <c r="CE228" s="87">
        <f>IF(OR($A228&gt;'Debt Service'!CC$58,$A228&lt;CC$51), 0, SUM(CC228:CC$242)*CD228*CC$63/CC$64+SUM(CC229:CC$242)*(CC$64-CC$63)/CC$64*CD228)</f>
        <v>0</v>
      </c>
      <c r="CF228" s="87"/>
      <c r="CG228" s="87">
        <f t="shared" si="537"/>
        <v>0</v>
      </c>
      <c r="CH228" s="77">
        <f t="shared" si="538"/>
        <v>5.6799999999999996E-2</v>
      </c>
      <c r="CI228" s="87">
        <f>IF(OR($A228&gt;'Debt Service'!CG$58,$A228&lt;CG$51), 0, SUM(CG228:CG$242)*CH228*CG$63/CG$64+SUM(CG229:CG$242)*(CG$64-CG$63)/CG$64*CH228)</f>
        <v>180453.59999999998</v>
      </c>
      <c r="CJ228" s="87"/>
      <c r="CK228" s="87">
        <f t="shared" si="539"/>
        <v>0</v>
      </c>
      <c r="CL228" s="77">
        <f t="shared" si="540"/>
        <v>6.0999999999999999E-2</v>
      </c>
      <c r="CM228" s="87">
        <f>IF(OR($A228&gt;'Debt Service'!CK$58,$A228&lt;CK$51), 0, SUM(CK228:CK$242)*CL228*CK$63/CK$64+SUM(CK229:CK$242)*(CK$64-CK$63)/CK$64*CL228)</f>
        <v>198067</v>
      </c>
      <c r="CN228" s="87"/>
      <c r="CO228" s="162">
        <f t="shared" si="541"/>
        <v>0</v>
      </c>
      <c r="CP228" s="87">
        <f t="shared" si="542"/>
        <v>378520.6</v>
      </c>
      <c r="CQ228" s="87"/>
      <c r="CR228" s="87">
        <f t="shared" si="543"/>
        <v>0</v>
      </c>
      <c r="CS228" s="77" t="str">
        <f t="shared" si="544"/>
        <v xml:space="preserve">   </v>
      </c>
      <c r="CT228" s="87">
        <f>IF(OR($A228&gt;'Debt Service'!CR$58,$A228&lt;CR$51), 0, SUM(CR228:CR$242)*CS228*CR$63/CR$64+SUM(CR229:CR$242)*(CR$64-CR$63)/CR$64*CS228)</f>
        <v>0</v>
      </c>
      <c r="CU228" s="87"/>
      <c r="CV228" s="87">
        <f t="shared" si="545"/>
        <v>0</v>
      </c>
      <c r="CW228" s="77">
        <f t="shared" si="546"/>
        <v>6.0999999999999999E-2</v>
      </c>
      <c r="CX228" s="87">
        <f>IF(OR($A228&gt;'Debt Service'!CV$58,$A228&lt;CV$51), 0, SUM(CV228:CV$242)*CW228*CV$63/CV$64+SUM(CV229:CV$242)*(CV$64-CV$63)/CV$64*CW228)</f>
        <v>206119</v>
      </c>
      <c r="CY228" s="87"/>
      <c r="CZ228" s="165">
        <f t="shared" si="547"/>
        <v>0</v>
      </c>
      <c r="DA228" s="165">
        <f t="shared" si="548"/>
        <v>206119</v>
      </c>
      <c r="DB228" s="87"/>
      <c r="DC228" s="87">
        <f t="shared" si="549"/>
        <v>0</v>
      </c>
      <c r="DD228" s="77" t="str">
        <f t="shared" si="550"/>
        <v xml:space="preserve">   </v>
      </c>
      <c r="DE228" s="87">
        <f>IF(OR($A228&gt;DC$191, $A228&lt;DC$51), 0, SUM(DC228:DC$242)*DD228*DC$63/DC$64+SUM(DC229:DC$242)*(DC$64-DC$63)/DC$64*DD228)</f>
        <v>0</v>
      </c>
      <c r="DF228" s="87"/>
      <c r="DG228" s="87">
        <f t="shared" si="551"/>
        <v>0</v>
      </c>
      <c r="DH228" s="77" t="str">
        <f t="shared" si="552"/>
        <v xml:space="preserve">   </v>
      </c>
      <c r="DI228" s="87">
        <f>IF(OR($A228&gt;DG$58, $A228&lt;DG$51), 0, SUM(DG228:DG$242)*DH228*DG$63/DG$64+SUM(DG229:DG$242)*(DG$64-DG$63)/DG$64*DH228)</f>
        <v>0</v>
      </c>
      <c r="DJ228" s="87"/>
      <c r="DK228" s="87">
        <f t="shared" si="553"/>
        <v>0</v>
      </c>
      <c r="DL228" s="77" t="str">
        <f t="shared" si="554"/>
        <v xml:space="preserve">   </v>
      </c>
      <c r="DM228" s="87">
        <f>IF(OR($A228&gt;DK$58, $A228&lt;DK$51), 0, SUM(DK228:DK$242)*DL228*DK$63/DK$64+SUM(DK229:DK$242)*(DK$64-DK$63)/DK$64*DL228)</f>
        <v>0</v>
      </c>
      <c r="DN228" s="87"/>
      <c r="DO228" s="87">
        <f t="shared" si="555"/>
        <v>0</v>
      </c>
      <c r="DP228" s="77" t="str">
        <f t="shared" si="556"/>
        <v xml:space="preserve">   </v>
      </c>
      <c r="DQ228" s="87">
        <f>IF(OR($A228&gt;DO$58, $A228&lt;DO$51), 0, SUM(DO228:DO$242)*DP228*DO$63/DO$64+SUM(DO229:DO$242)*(DO$64-DO$63)/DO$64*DP228)</f>
        <v>0</v>
      </c>
      <c r="DR228" s="87"/>
      <c r="DS228" s="87">
        <f t="shared" si="557"/>
        <v>0</v>
      </c>
      <c r="DT228" s="77" t="str">
        <f t="shared" si="558"/>
        <v xml:space="preserve">   </v>
      </c>
      <c r="DU228" s="87">
        <f>IF(OR($A228&gt;DS$58, $A228&lt;DS$51), 0, SUM(DS228:DS$242)*DT228*DS$63/DS$64+SUM(DS229:DS$242)*(DS$64-DS$63)/DS$64*DT228)</f>
        <v>0</v>
      </c>
      <c r="DV228" s="87"/>
      <c r="DW228" s="165">
        <f t="shared" si="571"/>
        <v>0</v>
      </c>
      <c r="DX228" s="165">
        <f t="shared" si="568"/>
        <v>1125952</v>
      </c>
      <c r="DY228" s="87"/>
      <c r="DZ228" s="53">
        <f t="shared" si="559"/>
        <v>2046</v>
      </c>
      <c r="EA228" s="35">
        <f t="shared" si="560"/>
        <v>0</v>
      </c>
      <c r="EB228" s="35">
        <f t="shared" si="561"/>
        <v>1125952</v>
      </c>
      <c r="EC228" s="35">
        <f t="shared" si="570"/>
        <v>18913000</v>
      </c>
      <c r="ED228" s="143">
        <f t="shared" si="569"/>
        <v>23</v>
      </c>
      <c r="EE228"/>
    </row>
    <row r="229" spans="1:135" s="33" customFormat="1" outlineLevel="1">
      <c r="A229" s="7">
        <f t="shared" si="562"/>
        <v>2047</v>
      </c>
      <c r="B229" s="151">
        <f>Assumptions!B31</f>
        <v>5.3800000000000001E-2</v>
      </c>
      <c r="C229" s="151">
        <f>Assumptions!C31</f>
        <v>5.3800000000000001E-2</v>
      </c>
      <c r="D229" s="151">
        <f>Assumptions!D31</f>
        <v>3.5000000000000003E-2</v>
      </c>
      <c r="E229" s="151">
        <f>Assumptions!E31</f>
        <v>5.2999999999999999E-2</v>
      </c>
      <c r="F229" s="8"/>
      <c r="G229" s="8"/>
      <c r="H229" s="8"/>
      <c r="I229" s="8"/>
      <c r="J229" s="8"/>
      <c r="K229" s="8"/>
      <c r="L229" s="8"/>
      <c r="M229" s="87">
        <f t="shared" si="504"/>
        <v>0</v>
      </c>
      <c r="N229" s="77" t="str">
        <f t="shared" si="505"/>
        <v xml:space="preserve">   </v>
      </c>
      <c r="O229" s="87">
        <f>IF($A229&gt;'Debt Service'!M$58, 0, SUM(M229:M$242)*N229*M$63/M$64+SUM(M230:M$242)*(M$64-M$63)/M$64*N229)</f>
        <v>0</v>
      </c>
      <c r="P229" s="35"/>
      <c r="Q229" s="87">
        <f t="shared" si="506"/>
        <v>0</v>
      </c>
      <c r="R229" s="77" t="str">
        <f t="shared" si="507"/>
        <v xml:space="preserve">   </v>
      </c>
      <c r="S229" s="87">
        <f>IF($A229&gt;'Debt Service'!Q$58, 0, SUM(Q229:Q$242)*R229*Q$63/Q$64+SUM(Q230:Q$242)*(Q$64-Q$63)/Q$64*R229)</f>
        <v>0</v>
      </c>
      <c r="T229" s="35"/>
      <c r="U229" s="35">
        <f t="shared" si="508"/>
        <v>0</v>
      </c>
      <c r="V229" s="35">
        <f t="shared" si="509"/>
        <v>0</v>
      </c>
      <c r="W229" s="35"/>
      <c r="X229" s="87">
        <f t="shared" si="510"/>
        <v>0</v>
      </c>
      <c r="Y229" s="77" t="str">
        <f t="shared" si="511"/>
        <v xml:space="preserve">   </v>
      </c>
      <c r="Z229" s="87">
        <f>IF($A229&gt;'Debt Service'!X$58, 0, SUM(X229:X$242)*Y229*X$63/X$64+SUM(X230:X$242)*(X$64-X$63)/X$64*Y229)</f>
        <v>0</v>
      </c>
      <c r="AA229" s="87"/>
      <c r="AB229" s="87">
        <f t="shared" si="512"/>
        <v>0</v>
      </c>
      <c r="AC229" s="77" t="str">
        <f t="shared" si="513"/>
        <v xml:space="preserve">   </v>
      </c>
      <c r="AD229" s="87">
        <f>IF($A229&gt;'Debt Service'!AB$58, 0, SUM(AB229:AB$242)*AC229*AB$63/AB$64+SUM(AB230:AB$242)*(AB$64-AB$63)/AB$64*AC229)</f>
        <v>0</v>
      </c>
      <c r="AE229" s="35"/>
      <c r="AF229" s="87">
        <f t="shared" si="514"/>
        <v>0</v>
      </c>
      <c r="AG229" s="77" t="str">
        <f t="shared" si="515"/>
        <v xml:space="preserve">   </v>
      </c>
      <c r="AH229" s="87">
        <f>IF($A229&gt;'Debt Service'!AF$58, 0, SUM(AF229:AF$242)*AG229*AF$63/AF$64+SUM(AF230:AF$242)*(AF$64-AF$63)/AF$64*AG229)</f>
        <v>0</v>
      </c>
      <c r="AI229" s="35"/>
      <c r="AJ229" s="87">
        <f t="shared" si="516"/>
        <v>0</v>
      </c>
      <c r="AK229" s="77" t="str">
        <f t="shared" si="517"/>
        <v xml:space="preserve">   </v>
      </c>
      <c r="AL229" s="87">
        <f>IF($A229&gt;'Debt Service'!AJ$58, 0, SUM(AJ229:AJ$242)*AK229*AJ$63/AJ$64+SUM(AJ230:AJ$242)*(AJ$64-AJ$63)/AJ$64*AK229)</f>
        <v>0</v>
      </c>
      <c r="AM229" s="35"/>
      <c r="AN229" s="87"/>
      <c r="AO229" s="77" t="str">
        <f t="shared" si="518"/>
        <v xml:space="preserve">   </v>
      </c>
      <c r="AP229" s="87">
        <f>IF($A229&gt;'Debt Service'!AN$58, 0, SUM(AN229:AN$242)*AO229*AN$63/AN$64+SUM(AN230:AN$242)*(AN$64-AN$63)/AN$64*AO229)</f>
        <v>0</v>
      </c>
      <c r="AQ229" s="35"/>
      <c r="AR229" s="87">
        <f t="shared" si="519"/>
        <v>0</v>
      </c>
      <c r="AS229" s="77" t="str">
        <f t="shared" si="520"/>
        <v xml:space="preserve">   </v>
      </c>
      <c r="AT229" s="87">
        <f>IF($A229&gt;'Debt Service'!AR$58, 0, SUM(AR229:AR$242)*AS229*AR$63/AR$64+SUM(AR230:AR$242)*(AR$64-AR$63)/AR$64*AS229)</f>
        <v>0</v>
      </c>
      <c r="AV229" s="35">
        <f t="shared" si="521"/>
        <v>0</v>
      </c>
      <c r="AW229" s="35">
        <f t="shared" si="522"/>
        <v>0</v>
      </c>
      <c r="AX229" s="35"/>
      <c r="AY229" s="87">
        <f t="shared" si="523"/>
        <v>0</v>
      </c>
      <c r="AZ229" s="77" t="str">
        <f t="shared" si="524"/>
        <v xml:space="preserve">   </v>
      </c>
      <c r="BA229" s="87">
        <f>IF($A229&gt;'Debt Service'!AY$58, 0, SUM(AY229:AY$242)*AZ229*AY$63/AY$64+SUM(AY230:AY$242)*(AY$64-AY$63)/AY$64*AZ229)</f>
        <v>0</v>
      </c>
      <c r="BB229" s="61"/>
      <c r="BC229" s="87">
        <f t="shared" si="525"/>
        <v>0</v>
      </c>
      <c r="BD229" s="77">
        <f t="shared" si="526"/>
        <v>6.0999999999999999E-2</v>
      </c>
      <c r="BE229" s="87">
        <f>IF($A229&gt;'Debt Service'!BC$58, 0, SUM(BC229:BC$242)*BD229*BC$63/BC$64+SUM(BC230:BC$242)*(BC$64-BC$63)/BC$64*BD229)</f>
        <v>97539</v>
      </c>
      <c r="BF229" s="61"/>
      <c r="BG229" s="87">
        <f t="shared" si="527"/>
        <v>0</v>
      </c>
      <c r="BH229" s="77">
        <f t="shared" si="528"/>
        <v>6.0999999999999999E-2</v>
      </c>
      <c r="BI229" s="87">
        <f>IF($A229&gt;'Debt Service'!BG$58, 0, SUM(BG229:BG$242)*BH229*BG$63/BG$64+SUM(BG230:BG$242)*(BG$64-BG$63)/BG$64*BH229)</f>
        <v>249063</v>
      </c>
      <c r="BJ229" s="61"/>
      <c r="BK229" s="35">
        <f t="shared" si="563"/>
        <v>0</v>
      </c>
      <c r="BL229" s="35">
        <f t="shared" si="564"/>
        <v>346602</v>
      </c>
      <c r="BM229" s="8"/>
      <c r="BN229" s="87">
        <f t="shared" si="529"/>
        <v>0</v>
      </c>
      <c r="BO229" s="77" t="str">
        <f t="shared" si="530"/>
        <v xml:space="preserve">   </v>
      </c>
      <c r="BP229" s="87">
        <f>IF($A229&gt;'Debt Service'!BN$58, 0, SUM(BN229:BN$242)*BO229*BN$63/BN$64+SUM(BN230:BN$242)*(BN$64-BN$63)/BN$64*BO229)</f>
        <v>0</v>
      </c>
      <c r="BQ229" s="77"/>
      <c r="BR229" s="87">
        <f t="shared" si="531"/>
        <v>0</v>
      </c>
      <c r="BS229" s="77">
        <f t="shared" si="532"/>
        <v>5.6799999999999996E-2</v>
      </c>
      <c r="BT229" s="87">
        <f>IF($A229&gt;'Debt Service'!BR$58, 0, SUM(BR229:BR$242)*BS229*BR$63/BR$64+SUM(BR230:BR$242)*(BR$64-BR$63)/BR$64*BS229)</f>
        <v>194710.39999999999</v>
      </c>
      <c r="BU229" s="87"/>
      <c r="BV229" s="35">
        <f t="shared" si="565"/>
        <v>0</v>
      </c>
      <c r="BW229" s="35">
        <f t="shared" si="566"/>
        <v>194710.39999999999</v>
      </c>
      <c r="BX229" s="87"/>
      <c r="BY229" s="87">
        <f t="shared" si="533"/>
        <v>0</v>
      </c>
      <c r="BZ229" s="77" t="str">
        <f t="shared" si="534"/>
        <v xml:space="preserve">   </v>
      </c>
      <c r="CA229" s="87">
        <f>IF($A229&gt;'Debt Service'!BY$58, 0, SUM(BY229:BY$242)*BZ229*BY$63/BY$64+SUM(BY230:BY$242)*(BY$64-BY$63)/BY$64*BZ229)</f>
        <v>0</v>
      </c>
      <c r="CB229" s="87"/>
      <c r="CC229" s="87">
        <f t="shared" si="535"/>
        <v>0</v>
      </c>
      <c r="CD229" s="77" t="str">
        <f t="shared" si="536"/>
        <v xml:space="preserve">   </v>
      </c>
      <c r="CE229" s="87">
        <f>IF(OR($A229&gt;'Debt Service'!CC$58,$A229&lt;CC$51), 0, SUM(CC229:CC$242)*CD229*CC$63/CC$64+SUM(CC230:CC$242)*(CC$64-CC$63)/CC$64*CD229)</f>
        <v>0</v>
      </c>
      <c r="CF229" s="87"/>
      <c r="CG229" s="87">
        <f t="shared" si="537"/>
        <v>0</v>
      </c>
      <c r="CH229" s="77">
        <f t="shared" si="538"/>
        <v>5.6799999999999996E-2</v>
      </c>
      <c r="CI229" s="87">
        <f>IF(OR($A229&gt;'Debt Service'!CG$58,$A229&lt;CG$51), 0, SUM(CG229:CG$242)*CH229*CG$63/CG$64+SUM(CG230:CG$242)*(CG$64-CG$63)/CG$64*CH229)</f>
        <v>180453.59999999998</v>
      </c>
      <c r="CJ229" s="87"/>
      <c r="CK229" s="87">
        <f t="shared" si="539"/>
        <v>0</v>
      </c>
      <c r="CL229" s="77">
        <f t="shared" si="540"/>
        <v>6.0999999999999999E-2</v>
      </c>
      <c r="CM229" s="87">
        <f>IF(OR($A229&gt;'Debt Service'!CK$58,$A229&lt;CK$51), 0, SUM(CK229:CK$242)*CL229*CK$63/CK$64+SUM(CK230:CK$242)*(CK$64-CK$63)/CK$64*CL229)</f>
        <v>198067</v>
      </c>
      <c r="CN229" s="87"/>
      <c r="CO229" s="162">
        <f t="shared" si="541"/>
        <v>0</v>
      </c>
      <c r="CP229" s="87">
        <f t="shared" si="542"/>
        <v>378520.6</v>
      </c>
      <c r="CQ229" s="87"/>
      <c r="CR229" s="87">
        <f t="shared" si="543"/>
        <v>0</v>
      </c>
      <c r="CS229" s="77" t="str">
        <f t="shared" si="544"/>
        <v xml:space="preserve">   </v>
      </c>
      <c r="CT229" s="87">
        <f>IF(OR($A229&gt;'Debt Service'!CR$58,$A229&lt;CR$51), 0, SUM(CR229:CR$242)*CS229*CR$63/CR$64+SUM(CR230:CR$242)*(CR$64-CR$63)/CR$64*CS229)</f>
        <v>0</v>
      </c>
      <c r="CU229" s="87"/>
      <c r="CV229" s="87">
        <f t="shared" si="545"/>
        <v>0</v>
      </c>
      <c r="CW229" s="77">
        <f t="shared" si="546"/>
        <v>6.0999999999999999E-2</v>
      </c>
      <c r="CX229" s="87">
        <f>IF(OR($A229&gt;'Debt Service'!CV$58,$A229&lt;CV$51), 0, SUM(CV229:CV$242)*CW229*CV$63/CV$64+SUM(CV230:CV$242)*(CV$64-CV$63)/CV$64*CW229)</f>
        <v>206119</v>
      </c>
      <c r="CY229" s="87"/>
      <c r="CZ229" s="165">
        <f t="shared" si="547"/>
        <v>0</v>
      </c>
      <c r="DA229" s="165">
        <f t="shared" si="548"/>
        <v>206119</v>
      </c>
      <c r="DB229" s="87"/>
      <c r="DC229" s="87">
        <f t="shared" si="549"/>
        <v>0</v>
      </c>
      <c r="DD229" s="77" t="str">
        <f t="shared" si="550"/>
        <v xml:space="preserve">   </v>
      </c>
      <c r="DE229" s="87">
        <f>IF(OR($A229&gt;DC$191, $A229&lt;DC$51), 0, SUM(DC229:DC$242)*DD229*DC$63/DC$64+SUM(DC230:DC$242)*(DC$64-DC$63)/DC$64*DD229)</f>
        <v>0</v>
      </c>
      <c r="DF229" s="87"/>
      <c r="DG229" s="87">
        <f t="shared" si="551"/>
        <v>0</v>
      </c>
      <c r="DH229" s="77" t="str">
        <f t="shared" si="552"/>
        <v xml:space="preserve">   </v>
      </c>
      <c r="DI229" s="87">
        <f>IF(OR($A229&gt;DG$58, $A229&lt;DG$51), 0, SUM(DG229:DG$242)*DH229*DG$63/DG$64+SUM(DG230:DG$242)*(DG$64-DG$63)/DG$64*DH229)</f>
        <v>0</v>
      </c>
      <c r="DJ229" s="87"/>
      <c r="DK229" s="87">
        <f t="shared" si="553"/>
        <v>0</v>
      </c>
      <c r="DL229" s="77" t="str">
        <f t="shared" si="554"/>
        <v xml:space="preserve">   </v>
      </c>
      <c r="DM229" s="87">
        <f>IF(OR($A229&gt;DK$58, $A229&lt;DK$51), 0, SUM(DK229:DK$242)*DL229*DK$63/DK$64+SUM(DK230:DK$242)*(DK$64-DK$63)/DK$64*DL229)</f>
        <v>0</v>
      </c>
      <c r="DN229" s="87"/>
      <c r="DO229" s="87">
        <f t="shared" si="555"/>
        <v>0</v>
      </c>
      <c r="DP229" s="77" t="str">
        <f t="shared" si="556"/>
        <v xml:space="preserve">   </v>
      </c>
      <c r="DQ229" s="87">
        <f>IF(OR($A229&gt;DO$58, $A229&lt;DO$51), 0, SUM(DO229:DO$242)*DP229*DO$63/DO$64+SUM(DO230:DO$242)*(DO$64-DO$63)/DO$64*DP229)</f>
        <v>0</v>
      </c>
      <c r="DR229" s="87"/>
      <c r="DS229" s="87">
        <f t="shared" si="557"/>
        <v>0</v>
      </c>
      <c r="DT229" s="77" t="str">
        <f t="shared" si="558"/>
        <v xml:space="preserve">   </v>
      </c>
      <c r="DU229" s="87">
        <f>IF(OR($A229&gt;DS$58, $A229&lt;DS$51), 0, SUM(DS229:DS$242)*DT229*DS$63/DS$64+SUM(DS230:DS$242)*(DS$64-DS$63)/DS$64*DT229)</f>
        <v>0</v>
      </c>
      <c r="DV229" s="87"/>
      <c r="DW229" s="165">
        <f t="shared" si="571"/>
        <v>0</v>
      </c>
      <c r="DX229" s="165">
        <f t="shared" si="568"/>
        <v>1125952</v>
      </c>
      <c r="DY229" s="87"/>
      <c r="DZ229" s="53">
        <f t="shared" si="559"/>
        <v>2047</v>
      </c>
      <c r="EA229" s="35">
        <f t="shared" si="560"/>
        <v>0</v>
      </c>
      <c r="EB229" s="35">
        <f t="shared" si="561"/>
        <v>1125952</v>
      </c>
      <c r="EC229" s="35">
        <f t="shared" si="570"/>
        <v>18913000</v>
      </c>
      <c r="ED229" s="143">
        <f t="shared" si="569"/>
        <v>24</v>
      </c>
      <c r="EE229"/>
    </row>
    <row r="230" spans="1:135" s="33" customFormat="1" outlineLevel="1">
      <c r="A230" s="7">
        <f t="shared" si="562"/>
        <v>2048</v>
      </c>
      <c r="B230" s="151">
        <f>Assumptions!B32</f>
        <v>5.3800000000000001E-2</v>
      </c>
      <c r="C230" s="151">
        <f>Assumptions!C32</f>
        <v>5.3800000000000001E-2</v>
      </c>
      <c r="D230" s="151">
        <f>Assumptions!D32</f>
        <v>3.5000000000000003E-2</v>
      </c>
      <c r="E230" s="151">
        <f>Assumptions!E32</f>
        <v>5.2999999999999999E-2</v>
      </c>
      <c r="F230" s="8"/>
      <c r="G230" s="8"/>
      <c r="H230" s="8"/>
      <c r="I230" s="8"/>
      <c r="J230" s="8"/>
      <c r="K230" s="8"/>
      <c r="L230" s="8"/>
      <c r="M230" s="87">
        <f t="shared" si="504"/>
        <v>0</v>
      </c>
      <c r="N230" s="77" t="str">
        <f t="shared" si="505"/>
        <v xml:space="preserve">   </v>
      </c>
      <c r="O230" s="87">
        <f>IF($A230&gt;'Debt Service'!M$58, 0, SUM(M230:M$242)*N230*M$63/M$64+SUM(M231:M$242)*(M$64-M$63)/M$64*N230)</f>
        <v>0</v>
      </c>
      <c r="P230" s="35"/>
      <c r="Q230" s="87">
        <f t="shared" si="506"/>
        <v>0</v>
      </c>
      <c r="R230" s="77" t="str">
        <f t="shared" si="507"/>
        <v xml:space="preserve">   </v>
      </c>
      <c r="S230" s="87">
        <f>IF($A230&gt;'Debt Service'!Q$58, 0, SUM(Q230:Q$242)*R230*Q$63/Q$64+SUM(Q231:Q$242)*(Q$64-Q$63)/Q$64*R230)</f>
        <v>0</v>
      </c>
      <c r="T230" s="35"/>
      <c r="U230" s="35">
        <f t="shared" si="508"/>
        <v>0</v>
      </c>
      <c r="V230" s="35">
        <f t="shared" si="509"/>
        <v>0</v>
      </c>
      <c r="W230" s="35"/>
      <c r="X230" s="87">
        <f t="shared" si="510"/>
        <v>0</v>
      </c>
      <c r="Y230" s="77" t="str">
        <f t="shared" si="511"/>
        <v xml:space="preserve">   </v>
      </c>
      <c r="Z230" s="87">
        <f>IF($A230&gt;'Debt Service'!X$58, 0, SUM(X230:X$242)*Y230*X$63/X$64+SUM(X231:X$242)*(X$64-X$63)/X$64*Y230)</f>
        <v>0</v>
      </c>
      <c r="AA230" s="87"/>
      <c r="AB230" s="87">
        <f t="shared" si="512"/>
        <v>0</v>
      </c>
      <c r="AC230" s="77" t="str">
        <f t="shared" si="513"/>
        <v xml:space="preserve">   </v>
      </c>
      <c r="AD230" s="87">
        <f>IF($A230&gt;'Debt Service'!AB$58, 0, SUM(AB230:AB$242)*AC230*AB$63/AB$64+SUM(AB231:AB$242)*(AB$64-AB$63)/AB$64*AC230)</f>
        <v>0</v>
      </c>
      <c r="AE230" s="35"/>
      <c r="AF230" s="87">
        <f t="shared" si="514"/>
        <v>0</v>
      </c>
      <c r="AG230" s="77" t="str">
        <f t="shared" si="515"/>
        <v xml:space="preserve">   </v>
      </c>
      <c r="AH230" s="87">
        <f>IF($A230&gt;'Debt Service'!AF$58, 0, SUM(AF230:AF$242)*AG230*AF$63/AF$64+SUM(AF231:AF$242)*(AF$64-AF$63)/AF$64*AG230)</f>
        <v>0</v>
      </c>
      <c r="AI230" s="35"/>
      <c r="AJ230" s="87">
        <f t="shared" si="516"/>
        <v>0</v>
      </c>
      <c r="AK230" s="77" t="str">
        <f t="shared" si="517"/>
        <v xml:space="preserve">   </v>
      </c>
      <c r="AL230" s="87">
        <f>IF($A230&gt;'Debt Service'!AJ$58, 0, SUM(AJ230:AJ$242)*AK230*AJ$63/AJ$64+SUM(AJ231:AJ$242)*(AJ$64-AJ$63)/AJ$64*AK230)</f>
        <v>0</v>
      </c>
      <c r="AM230" s="35"/>
      <c r="AN230" s="87"/>
      <c r="AO230" s="77" t="str">
        <f t="shared" si="518"/>
        <v xml:space="preserve">   </v>
      </c>
      <c r="AP230" s="87">
        <f>IF($A230&gt;'Debt Service'!AN$58, 0, SUM(AN230:AN$242)*AO230*AN$63/AN$64+SUM(AN231:AN$242)*(AN$64-AN$63)/AN$64*AO230)</f>
        <v>0</v>
      </c>
      <c r="AQ230" s="35"/>
      <c r="AR230" s="87">
        <f t="shared" si="519"/>
        <v>0</v>
      </c>
      <c r="AS230" s="77" t="str">
        <f t="shared" si="520"/>
        <v xml:space="preserve">   </v>
      </c>
      <c r="AT230" s="87">
        <f>IF($A230&gt;'Debt Service'!AR$58, 0, SUM(AR230:AR$242)*AS230*AR$63/AR$64+SUM(AR231:AR$242)*(AR$64-AR$63)/AR$64*AS230)</f>
        <v>0</v>
      </c>
      <c r="AV230" s="35">
        <f t="shared" si="521"/>
        <v>0</v>
      </c>
      <c r="AW230" s="35">
        <f t="shared" si="522"/>
        <v>0</v>
      </c>
      <c r="AX230" s="35"/>
      <c r="AY230" s="87">
        <f t="shared" si="523"/>
        <v>0</v>
      </c>
      <c r="AZ230" s="77" t="str">
        <f t="shared" si="524"/>
        <v xml:space="preserve">   </v>
      </c>
      <c r="BA230" s="87">
        <f>IF($A230&gt;'Debt Service'!AY$58, 0, SUM(AY230:AY$242)*AZ230*AY$63/AY$64+SUM(AY231:AY$242)*(AY$64-AY$63)/AY$64*AZ230)</f>
        <v>0</v>
      </c>
      <c r="BB230" s="61"/>
      <c r="BC230" s="87">
        <f t="shared" si="525"/>
        <v>1599000</v>
      </c>
      <c r="BD230" s="77">
        <f t="shared" si="526"/>
        <v>6.0999999999999999E-2</v>
      </c>
      <c r="BE230" s="87">
        <f>IF($A230&gt;'Debt Service'!BC$58, 0, SUM(BC230:BC$242)*BD230*BC$63/BC$64+SUM(BC231:BC$242)*(BC$64-BC$63)/BC$64*BD230)</f>
        <v>73154.25</v>
      </c>
      <c r="BF230" s="61"/>
      <c r="BG230" s="87">
        <f t="shared" si="527"/>
        <v>4083000</v>
      </c>
      <c r="BH230" s="77">
        <f t="shared" si="528"/>
        <v>6.0999999999999999E-2</v>
      </c>
      <c r="BI230" s="87">
        <f>IF($A230&gt;'Debt Service'!BG$58, 0, SUM(BG230:BG$242)*BH230*BG$63/BG$64+SUM(BG231:BG$242)*(BG$64-BG$63)/BG$64*BH230)</f>
        <v>186797.25</v>
      </c>
      <c r="BJ230" s="61"/>
      <c r="BK230" s="35">
        <f t="shared" si="563"/>
        <v>5682000</v>
      </c>
      <c r="BL230" s="35">
        <f t="shared" si="564"/>
        <v>259951.5</v>
      </c>
      <c r="BM230" s="8"/>
      <c r="BN230" s="87">
        <f t="shared" si="529"/>
        <v>0</v>
      </c>
      <c r="BO230" s="77" t="str">
        <f t="shared" si="530"/>
        <v xml:space="preserve">   </v>
      </c>
      <c r="BP230" s="87">
        <f>IF($A230&gt;'Debt Service'!BN$58, 0, SUM(BN230:BN$242)*BO230*BN$63/BN$64+SUM(BN231:BN$242)*(BN$64-BN$63)/BN$64*BO230)</f>
        <v>0</v>
      </c>
      <c r="BQ230" s="77"/>
      <c r="BR230" s="87">
        <f t="shared" si="531"/>
        <v>0</v>
      </c>
      <c r="BS230" s="77">
        <f t="shared" si="532"/>
        <v>5.6799999999999996E-2</v>
      </c>
      <c r="BT230" s="87">
        <f>IF($A230&gt;'Debt Service'!BR$58, 0, SUM(BR230:BR$242)*BS230*BR$63/BR$64+SUM(BR231:BR$242)*(BR$64-BR$63)/BR$64*BS230)</f>
        <v>194710.39999999999</v>
      </c>
      <c r="BU230" s="87"/>
      <c r="BV230" s="35">
        <f t="shared" si="565"/>
        <v>0</v>
      </c>
      <c r="BW230" s="35">
        <f t="shared" si="566"/>
        <v>194710.39999999999</v>
      </c>
      <c r="BX230" s="87"/>
      <c r="BY230" s="87">
        <f t="shared" si="533"/>
        <v>0</v>
      </c>
      <c r="BZ230" s="77" t="str">
        <f t="shared" si="534"/>
        <v xml:space="preserve">   </v>
      </c>
      <c r="CA230" s="87">
        <f>IF($A230&gt;'Debt Service'!BY$58, 0, SUM(BY230:BY$242)*BZ230*BY$63/BY$64+SUM(BY231:BY$242)*(BY$64-BY$63)/BY$64*BZ230)</f>
        <v>0</v>
      </c>
      <c r="CB230" s="87"/>
      <c r="CC230" s="87">
        <f t="shared" si="535"/>
        <v>0</v>
      </c>
      <c r="CD230" s="77" t="str">
        <f t="shared" si="536"/>
        <v xml:space="preserve">   </v>
      </c>
      <c r="CE230" s="87">
        <f>IF(OR($A230&gt;'Debt Service'!CC$58,$A230&lt;CC$51), 0, SUM(CC230:CC$242)*CD230*CC$63/CC$64+SUM(CC231:CC$242)*(CC$64-CC$63)/CC$64*CD230)</f>
        <v>0</v>
      </c>
      <c r="CF230" s="87"/>
      <c r="CG230" s="87">
        <f t="shared" si="537"/>
        <v>0</v>
      </c>
      <c r="CH230" s="77">
        <f t="shared" si="538"/>
        <v>5.6799999999999996E-2</v>
      </c>
      <c r="CI230" s="87">
        <f>IF(OR($A230&gt;'Debt Service'!CG$58,$A230&lt;CG$51), 0, SUM(CG230:CG$242)*CH230*CG$63/CG$64+SUM(CG231:CG$242)*(CG$64-CG$63)/CG$64*CH230)</f>
        <v>180453.59999999998</v>
      </c>
      <c r="CJ230" s="87"/>
      <c r="CK230" s="87">
        <f t="shared" si="539"/>
        <v>0</v>
      </c>
      <c r="CL230" s="77">
        <f t="shared" si="540"/>
        <v>6.0999999999999999E-2</v>
      </c>
      <c r="CM230" s="87">
        <f>IF(OR($A230&gt;'Debt Service'!CK$58,$A230&lt;CK$51), 0, SUM(CK230:CK$242)*CL230*CK$63/CK$64+SUM(CK231:CK$242)*(CK$64-CK$63)/CK$64*CL230)</f>
        <v>198067</v>
      </c>
      <c r="CN230" s="87"/>
      <c r="CO230" s="162">
        <f t="shared" si="541"/>
        <v>0</v>
      </c>
      <c r="CP230" s="87">
        <f t="shared" si="542"/>
        <v>378520.6</v>
      </c>
      <c r="CQ230" s="87"/>
      <c r="CR230" s="87">
        <f t="shared" si="543"/>
        <v>0</v>
      </c>
      <c r="CS230" s="77" t="str">
        <f t="shared" si="544"/>
        <v xml:space="preserve">   </v>
      </c>
      <c r="CT230" s="87">
        <f>IF(OR($A230&gt;'Debt Service'!CR$58,$A230&lt;CR$51), 0, SUM(CR230:CR$242)*CS230*CR$63/CR$64+SUM(CR231:CR$242)*(CR$64-CR$63)/CR$64*CS230)</f>
        <v>0</v>
      </c>
      <c r="CU230" s="87"/>
      <c r="CV230" s="87">
        <f t="shared" si="545"/>
        <v>0</v>
      </c>
      <c r="CW230" s="77">
        <f t="shared" si="546"/>
        <v>6.0999999999999999E-2</v>
      </c>
      <c r="CX230" s="87">
        <f>IF(OR($A230&gt;'Debt Service'!CV$58,$A230&lt;CV$51), 0, SUM(CV230:CV$242)*CW230*CV$63/CV$64+SUM(CV231:CV$242)*(CV$64-CV$63)/CV$64*CW230)</f>
        <v>206119</v>
      </c>
      <c r="CY230" s="87"/>
      <c r="CZ230" s="165">
        <f t="shared" si="547"/>
        <v>0</v>
      </c>
      <c r="DA230" s="165">
        <f t="shared" si="548"/>
        <v>206119</v>
      </c>
      <c r="DB230" s="87"/>
      <c r="DC230" s="87">
        <f t="shared" si="549"/>
        <v>0</v>
      </c>
      <c r="DD230" s="77" t="str">
        <f t="shared" si="550"/>
        <v xml:space="preserve">   </v>
      </c>
      <c r="DE230" s="87">
        <f>IF(OR($A230&gt;DC$191, $A230&lt;DC$51), 0, SUM(DC230:DC$242)*DD230*DC$63/DC$64+SUM(DC231:DC$242)*(DC$64-DC$63)/DC$64*DD230)</f>
        <v>0</v>
      </c>
      <c r="DF230" s="87"/>
      <c r="DG230" s="87">
        <f t="shared" si="551"/>
        <v>0</v>
      </c>
      <c r="DH230" s="77" t="str">
        <f t="shared" si="552"/>
        <v xml:space="preserve">   </v>
      </c>
      <c r="DI230" s="87">
        <f>IF(OR($A230&gt;DG$58, $A230&lt;DG$51), 0, SUM(DG230:DG$242)*DH230*DG$63/DG$64+SUM(DG231:DG$242)*(DG$64-DG$63)/DG$64*DH230)</f>
        <v>0</v>
      </c>
      <c r="DJ230" s="87"/>
      <c r="DK230" s="87">
        <f t="shared" si="553"/>
        <v>0</v>
      </c>
      <c r="DL230" s="77" t="str">
        <f t="shared" si="554"/>
        <v xml:space="preserve">   </v>
      </c>
      <c r="DM230" s="87">
        <f>IF(OR($A230&gt;DK$58, $A230&lt;DK$51), 0, SUM(DK230:DK$242)*DL230*DK$63/DK$64+SUM(DK231:DK$242)*(DK$64-DK$63)/DK$64*DL230)</f>
        <v>0</v>
      </c>
      <c r="DN230" s="87"/>
      <c r="DO230" s="87">
        <f t="shared" si="555"/>
        <v>0</v>
      </c>
      <c r="DP230" s="77" t="str">
        <f t="shared" si="556"/>
        <v xml:space="preserve">   </v>
      </c>
      <c r="DQ230" s="87">
        <f>IF(OR($A230&gt;DO$58, $A230&lt;DO$51), 0, SUM(DO230:DO$242)*DP230*DO$63/DO$64+SUM(DO231:DO$242)*(DO$64-DO$63)/DO$64*DP230)</f>
        <v>0</v>
      </c>
      <c r="DR230" s="87"/>
      <c r="DS230" s="87">
        <f t="shared" si="557"/>
        <v>0</v>
      </c>
      <c r="DT230" s="77" t="str">
        <f t="shared" si="558"/>
        <v xml:space="preserve">   </v>
      </c>
      <c r="DU230" s="87">
        <f>IF(OR($A230&gt;DS$58, $A230&lt;DS$51), 0, SUM(DS230:DS$242)*DT230*DS$63/DS$64+SUM(DS231:DS$242)*(DS$64-DS$63)/DS$64*DT230)</f>
        <v>0</v>
      </c>
      <c r="DV230" s="87"/>
      <c r="DW230" s="165">
        <f t="shared" si="571"/>
        <v>5682000</v>
      </c>
      <c r="DX230" s="165">
        <f t="shared" si="568"/>
        <v>1039301.5</v>
      </c>
      <c r="DY230" s="87"/>
      <c r="DZ230" s="53">
        <f t="shared" si="559"/>
        <v>2048</v>
      </c>
      <c r="EA230" s="35">
        <f t="shared" si="560"/>
        <v>5682000</v>
      </c>
      <c r="EB230" s="35">
        <f t="shared" si="561"/>
        <v>1039301.5</v>
      </c>
      <c r="EC230" s="35">
        <f t="shared" si="570"/>
        <v>13231000</v>
      </c>
      <c r="ED230" s="143">
        <f t="shared" si="569"/>
        <v>25</v>
      </c>
      <c r="EE230"/>
    </row>
    <row r="231" spans="1:135" s="33" customFormat="1" outlineLevel="1">
      <c r="A231" s="7">
        <f t="shared" si="562"/>
        <v>2049</v>
      </c>
      <c r="B231" s="151">
        <f>Assumptions!B33</f>
        <v>5.3800000000000001E-2</v>
      </c>
      <c r="C231" s="151">
        <f>Assumptions!C33</f>
        <v>5.3800000000000001E-2</v>
      </c>
      <c r="D231" s="151">
        <f>Assumptions!D33</f>
        <v>3.5000000000000003E-2</v>
      </c>
      <c r="E231" s="151">
        <f>Assumptions!E33</f>
        <v>5.2999999999999999E-2</v>
      </c>
      <c r="F231" s="8"/>
      <c r="G231" s="8"/>
      <c r="H231" s="8"/>
      <c r="I231" s="8"/>
      <c r="J231" s="8"/>
      <c r="K231" s="8"/>
      <c r="L231" s="8"/>
      <c r="M231" s="87">
        <f t="shared" si="504"/>
        <v>0</v>
      </c>
      <c r="N231" s="77" t="str">
        <f t="shared" si="505"/>
        <v xml:space="preserve">   </v>
      </c>
      <c r="O231" s="87">
        <f>IF($A231&gt;'Debt Service'!M$58, 0, SUM(M231:M$242)*N231*M$63/M$64+SUM(M232:M$242)*(M$64-M$63)/M$64*N231)</f>
        <v>0</v>
      </c>
      <c r="P231" s="35"/>
      <c r="Q231" s="87">
        <f t="shared" si="506"/>
        <v>0</v>
      </c>
      <c r="R231" s="77" t="str">
        <f t="shared" si="507"/>
        <v xml:space="preserve">   </v>
      </c>
      <c r="S231" s="87">
        <f>IF($A231&gt;'Debt Service'!Q$58, 0, SUM(Q231:Q$242)*R231*Q$63/Q$64+SUM(Q232:Q$242)*(Q$64-Q$63)/Q$64*R231)</f>
        <v>0</v>
      </c>
      <c r="T231" s="35"/>
      <c r="U231" s="35">
        <f t="shared" si="508"/>
        <v>0</v>
      </c>
      <c r="V231" s="35">
        <f t="shared" si="509"/>
        <v>0</v>
      </c>
      <c r="W231" s="35"/>
      <c r="X231" s="87">
        <f t="shared" si="510"/>
        <v>0</v>
      </c>
      <c r="Y231" s="77" t="str">
        <f t="shared" si="511"/>
        <v xml:space="preserve">   </v>
      </c>
      <c r="Z231" s="87">
        <f>IF($A231&gt;'Debt Service'!X$58, 0, SUM(X231:X$242)*Y231*X$63/X$64+SUM(X232:X$242)*(X$64-X$63)/X$64*Y231)</f>
        <v>0</v>
      </c>
      <c r="AA231" s="87"/>
      <c r="AB231" s="87">
        <f t="shared" si="512"/>
        <v>0</v>
      </c>
      <c r="AC231" s="77" t="str">
        <f t="shared" si="513"/>
        <v xml:space="preserve">   </v>
      </c>
      <c r="AD231" s="87">
        <f>IF($A231&gt;'Debt Service'!AB$58, 0, SUM(AB231:AB$242)*AC231*AB$63/AB$64+SUM(AB232:AB$242)*(AB$64-AB$63)/AB$64*AC231)</f>
        <v>0</v>
      </c>
      <c r="AE231" s="35"/>
      <c r="AF231" s="87">
        <f t="shared" si="514"/>
        <v>0</v>
      </c>
      <c r="AG231" s="77" t="str">
        <f t="shared" si="515"/>
        <v xml:space="preserve">   </v>
      </c>
      <c r="AH231" s="87">
        <f>IF($A231&gt;'Debt Service'!AF$58, 0, SUM(AF231:AF$242)*AG231*AF$63/AF$64+SUM(AF232:AF$242)*(AF$64-AF$63)/AF$64*AG231)</f>
        <v>0</v>
      </c>
      <c r="AI231" s="35"/>
      <c r="AJ231" s="87">
        <f t="shared" si="516"/>
        <v>0</v>
      </c>
      <c r="AK231" s="77" t="str">
        <f t="shared" si="517"/>
        <v xml:space="preserve">   </v>
      </c>
      <c r="AL231" s="87">
        <f>IF($A231&gt;'Debt Service'!AJ$58, 0, SUM(AJ231:AJ$242)*AK231*AJ$63/AJ$64+SUM(AJ232:AJ$242)*(AJ$64-AJ$63)/AJ$64*AK231)</f>
        <v>0</v>
      </c>
      <c r="AM231" s="35"/>
      <c r="AN231" s="87"/>
      <c r="AO231" s="77" t="str">
        <f t="shared" si="518"/>
        <v xml:space="preserve">   </v>
      </c>
      <c r="AP231" s="87">
        <f>IF($A231&gt;'Debt Service'!AN$58, 0, SUM(AN231:AN$242)*AO231*AN$63/AN$64+SUM(AN232:AN$242)*(AN$64-AN$63)/AN$64*AO231)</f>
        <v>0</v>
      </c>
      <c r="AQ231" s="35"/>
      <c r="AR231" s="87">
        <f t="shared" si="519"/>
        <v>0</v>
      </c>
      <c r="AS231" s="77" t="str">
        <f t="shared" si="520"/>
        <v xml:space="preserve">   </v>
      </c>
      <c r="AT231" s="87">
        <f>IF($A231&gt;'Debt Service'!AR$58, 0, SUM(AR231:AR$242)*AS231*AR$63/AR$64+SUM(AR232:AR$242)*(AR$64-AR$63)/AR$64*AS231)</f>
        <v>0</v>
      </c>
      <c r="AV231" s="35">
        <f t="shared" si="521"/>
        <v>0</v>
      </c>
      <c r="AW231" s="35">
        <f t="shared" si="522"/>
        <v>0</v>
      </c>
      <c r="AX231" s="35"/>
      <c r="AY231" s="87">
        <f t="shared" si="523"/>
        <v>0</v>
      </c>
      <c r="AZ231" s="77" t="str">
        <f t="shared" si="524"/>
        <v xml:space="preserve">   </v>
      </c>
      <c r="BA231" s="87">
        <f>IF($A231&gt;'Debt Service'!AY$58, 0, SUM(AY231:AY$242)*AZ231*AY$63/AY$64+SUM(AY232:AY$242)*(AY$64-AY$63)/AY$64*AZ231)</f>
        <v>0</v>
      </c>
      <c r="BB231" s="61"/>
      <c r="BC231" s="87">
        <f t="shared" si="525"/>
        <v>0</v>
      </c>
      <c r="BD231" s="77" t="str">
        <f t="shared" si="526"/>
        <v xml:space="preserve">   </v>
      </c>
      <c r="BE231" s="87">
        <f>IF($A231&gt;'Debt Service'!BC$58, 0, SUM(BC231:BC$242)*BD231*BC$63/BC$64+SUM(BC232:BC$242)*(BC$64-BC$63)/BC$64*BD231)</f>
        <v>0</v>
      </c>
      <c r="BF231" s="61"/>
      <c r="BG231" s="87">
        <f t="shared" si="527"/>
        <v>0</v>
      </c>
      <c r="BH231" s="77" t="str">
        <f t="shared" si="528"/>
        <v xml:space="preserve">   </v>
      </c>
      <c r="BI231" s="87">
        <f>IF($A231&gt;'Debt Service'!BG$58, 0, SUM(BG231:BG$242)*BH231*BG$63/BG$64+SUM(BG232:BG$242)*(BG$64-BG$63)/BG$64*BH231)</f>
        <v>0</v>
      </c>
      <c r="BJ231" s="61"/>
      <c r="BK231" s="35">
        <f t="shared" si="563"/>
        <v>0</v>
      </c>
      <c r="BL231" s="35">
        <f t="shared" si="564"/>
        <v>0</v>
      </c>
      <c r="BM231" s="8"/>
      <c r="BN231" s="87">
        <f t="shared" si="529"/>
        <v>0</v>
      </c>
      <c r="BO231" s="77" t="str">
        <f t="shared" si="530"/>
        <v xml:space="preserve">   </v>
      </c>
      <c r="BP231" s="87">
        <f>IF($A231&gt;'Debt Service'!BN$58, 0, SUM(BN231:BN$242)*BO231*BN$63/BN$64+SUM(BN232:BN$242)*(BN$64-BN$63)/BN$64*BO231)</f>
        <v>0</v>
      </c>
      <c r="BQ231" s="77"/>
      <c r="BR231" s="87">
        <f t="shared" si="531"/>
        <v>0</v>
      </c>
      <c r="BS231" s="77">
        <f t="shared" si="532"/>
        <v>5.6799999999999996E-2</v>
      </c>
      <c r="BT231" s="87">
        <f>IF($A231&gt;'Debt Service'!BR$58, 0, SUM(BR231:BR$242)*BS231*BR$63/BR$64+SUM(BR232:BR$242)*(BR$64-BR$63)/BR$64*BS231)</f>
        <v>194710.39999999999</v>
      </c>
      <c r="BU231" s="87"/>
      <c r="BV231" s="35">
        <f t="shared" si="565"/>
        <v>0</v>
      </c>
      <c r="BW231" s="35">
        <f t="shared" si="566"/>
        <v>194710.39999999999</v>
      </c>
      <c r="BX231" s="87"/>
      <c r="BY231" s="87">
        <f t="shared" si="533"/>
        <v>0</v>
      </c>
      <c r="BZ231" s="77" t="str">
        <f t="shared" si="534"/>
        <v xml:space="preserve">   </v>
      </c>
      <c r="CA231" s="87">
        <f>IF($A231&gt;'Debt Service'!BY$58, 0, SUM(BY231:BY$242)*BZ231*BY$63/BY$64+SUM(BY232:BY$242)*(BY$64-BY$63)/BY$64*BZ231)</f>
        <v>0</v>
      </c>
      <c r="CB231" s="87"/>
      <c r="CC231" s="87">
        <f t="shared" si="535"/>
        <v>0</v>
      </c>
      <c r="CD231" s="77" t="str">
        <f t="shared" si="536"/>
        <v xml:space="preserve">   </v>
      </c>
      <c r="CE231" s="87">
        <f>IF(OR($A231&gt;'Debt Service'!CC$58,$A231&lt;CC$51), 0, SUM(CC231:CC$242)*CD231*CC$63/CC$64+SUM(CC232:CC$242)*(CC$64-CC$63)/CC$64*CD231)</f>
        <v>0</v>
      </c>
      <c r="CF231" s="87"/>
      <c r="CG231" s="87">
        <f t="shared" si="537"/>
        <v>0</v>
      </c>
      <c r="CH231" s="77">
        <f t="shared" si="538"/>
        <v>5.6799999999999996E-2</v>
      </c>
      <c r="CI231" s="87">
        <f>IF(OR($A231&gt;'Debt Service'!CG$58,$A231&lt;CG$51), 0, SUM(CG231:CG$242)*CH231*CG$63/CG$64+SUM(CG232:CG$242)*(CG$64-CG$63)/CG$64*CH231)</f>
        <v>180453.59999999998</v>
      </c>
      <c r="CJ231" s="87"/>
      <c r="CK231" s="87">
        <f t="shared" si="539"/>
        <v>0</v>
      </c>
      <c r="CL231" s="77">
        <f t="shared" si="540"/>
        <v>6.0999999999999999E-2</v>
      </c>
      <c r="CM231" s="87">
        <f>IF(OR($A231&gt;'Debt Service'!CK$58,$A231&lt;CK$51), 0, SUM(CK231:CK$242)*CL231*CK$63/CK$64+SUM(CK232:CK$242)*(CK$64-CK$63)/CK$64*CL231)</f>
        <v>198067</v>
      </c>
      <c r="CN231" s="87"/>
      <c r="CO231" s="162">
        <f t="shared" si="541"/>
        <v>0</v>
      </c>
      <c r="CP231" s="87">
        <f t="shared" si="542"/>
        <v>378520.6</v>
      </c>
      <c r="CQ231" s="87"/>
      <c r="CR231" s="87">
        <f t="shared" si="543"/>
        <v>0</v>
      </c>
      <c r="CS231" s="77" t="str">
        <f t="shared" si="544"/>
        <v xml:space="preserve">   </v>
      </c>
      <c r="CT231" s="87">
        <f>IF(OR($A231&gt;'Debt Service'!CR$58,$A231&lt;CR$51), 0, SUM(CR231:CR$242)*CS231*CR$63/CR$64+SUM(CR232:CR$242)*(CR$64-CR$63)/CR$64*CS231)</f>
        <v>0</v>
      </c>
      <c r="CU231" s="87"/>
      <c r="CV231" s="87">
        <f t="shared" si="545"/>
        <v>0</v>
      </c>
      <c r="CW231" s="77">
        <f t="shared" si="546"/>
        <v>6.0999999999999999E-2</v>
      </c>
      <c r="CX231" s="87">
        <f>IF(OR($A231&gt;'Debt Service'!CV$58,$A231&lt;CV$51), 0, SUM(CV231:CV$242)*CW231*CV$63/CV$64+SUM(CV232:CV$242)*(CV$64-CV$63)/CV$64*CW231)</f>
        <v>206119</v>
      </c>
      <c r="CY231" s="87"/>
      <c r="CZ231" s="165">
        <f t="shared" si="547"/>
        <v>0</v>
      </c>
      <c r="DA231" s="165">
        <f t="shared" si="548"/>
        <v>206119</v>
      </c>
      <c r="DB231" s="87"/>
      <c r="DC231" s="87">
        <f t="shared" si="549"/>
        <v>0</v>
      </c>
      <c r="DD231" s="77" t="str">
        <f t="shared" si="550"/>
        <v xml:space="preserve">   </v>
      </c>
      <c r="DE231" s="87">
        <f>IF(OR($A231&gt;DC$191, $A231&lt;DC$51), 0, SUM(DC231:DC$242)*DD231*DC$63/DC$64+SUM(DC232:DC$242)*(DC$64-DC$63)/DC$64*DD231)</f>
        <v>0</v>
      </c>
      <c r="DF231" s="87"/>
      <c r="DG231" s="87">
        <f t="shared" si="551"/>
        <v>0</v>
      </c>
      <c r="DH231" s="77" t="str">
        <f t="shared" si="552"/>
        <v xml:space="preserve">   </v>
      </c>
      <c r="DI231" s="87">
        <f>IF(OR($A231&gt;DG$58, $A231&lt;DG$51), 0, SUM(DG231:DG$242)*DH231*DG$63/DG$64+SUM(DG232:DG$242)*(DG$64-DG$63)/DG$64*DH231)</f>
        <v>0</v>
      </c>
      <c r="DJ231" s="87"/>
      <c r="DK231" s="87">
        <f t="shared" si="553"/>
        <v>0</v>
      </c>
      <c r="DL231" s="77" t="str">
        <f t="shared" si="554"/>
        <v xml:space="preserve">   </v>
      </c>
      <c r="DM231" s="87">
        <f>IF(OR($A231&gt;DK$58, $A231&lt;DK$51), 0, SUM(DK231:DK$242)*DL231*DK$63/DK$64+SUM(DK232:DK$242)*(DK$64-DK$63)/DK$64*DL231)</f>
        <v>0</v>
      </c>
      <c r="DN231" s="87"/>
      <c r="DO231" s="87">
        <f t="shared" si="555"/>
        <v>0</v>
      </c>
      <c r="DP231" s="77" t="str">
        <f t="shared" si="556"/>
        <v xml:space="preserve">   </v>
      </c>
      <c r="DQ231" s="87">
        <f>IF(OR($A231&gt;DO$58, $A231&lt;DO$51), 0, SUM(DO231:DO$242)*DP231*DO$63/DO$64+SUM(DO232:DO$242)*(DO$64-DO$63)/DO$64*DP231)</f>
        <v>0</v>
      </c>
      <c r="DR231" s="87"/>
      <c r="DS231" s="87">
        <f t="shared" si="557"/>
        <v>0</v>
      </c>
      <c r="DT231" s="77" t="str">
        <f t="shared" si="558"/>
        <v xml:space="preserve">   </v>
      </c>
      <c r="DU231" s="87">
        <f>IF(OR($A231&gt;DS$58, $A231&lt;DS$51), 0, SUM(DS231:DS$242)*DT231*DS$63/DS$64+SUM(DS232:DS$242)*(DS$64-DS$63)/DS$64*DT231)</f>
        <v>0</v>
      </c>
      <c r="DV231" s="87"/>
      <c r="DW231" s="165">
        <f t="shared" si="571"/>
        <v>0</v>
      </c>
      <c r="DX231" s="165">
        <f t="shared" si="568"/>
        <v>779350</v>
      </c>
      <c r="DY231" s="87"/>
      <c r="DZ231" s="53">
        <f t="shared" si="559"/>
        <v>2049</v>
      </c>
      <c r="EA231" s="35">
        <f t="shared" si="560"/>
        <v>0</v>
      </c>
      <c r="EB231" s="35">
        <f t="shared" si="561"/>
        <v>779350</v>
      </c>
      <c r="EC231" s="35">
        <f t="shared" si="570"/>
        <v>13231000</v>
      </c>
      <c r="ED231" s="143">
        <f t="shared" si="569"/>
        <v>26</v>
      </c>
      <c r="EE231"/>
    </row>
    <row r="232" spans="1:135" s="33" customFormat="1" outlineLevel="1">
      <c r="A232" s="7">
        <f t="shared" si="562"/>
        <v>2050</v>
      </c>
      <c r="B232" s="151">
        <f>Assumptions!B34</f>
        <v>5.3800000000000001E-2</v>
      </c>
      <c r="C232" s="151">
        <f>Assumptions!C34</f>
        <v>5.3800000000000001E-2</v>
      </c>
      <c r="D232" s="151">
        <f>Assumptions!D34</f>
        <v>3.5000000000000003E-2</v>
      </c>
      <c r="E232" s="151">
        <f>Assumptions!E34</f>
        <v>5.2999999999999999E-2</v>
      </c>
      <c r="F232" s="8"/>
      <c r="G232" s="8"/>
      <c r="H232" s="8"/>
      <c r="I232" s="8"/>
      <c r="J232" s="8"/>
      <c r="K232" s="8"/>
      <c r="L232" s="8"/>
      <c r="M232" s="87">
        <f t="shared" si="504"/>
        <v>0</v>
      </c>
      <c r="N232" s="77" t="str">
        <f t="shared" si="505"/>
        <v xml:space="preserve">   </v>
      </c>
      <c r="O232" s="87">
        <f>IF($A232&gt;'Debt Service'!M$58, 0, SUM(M232:M$242)*N232*M$63/M$64+SUM(M233:M$242)*(M$64-M$63)/M$64*N232)</f>
        <v>0</v>
      </c>
      <c r="P232" s="35"/>
      <c r="Q232" s="87">
        <f t="shared" si="506"/>
        <v>0</v>
      </c>
      <c r="R232" s="77" t="str">
        <f t="shared" si="507"/>
        <v xml:space="preserve">   </v>
      </c>
      <c r="S232" s="87">
        <f>IF($A232&gt;'Debt Service'!Q$58, 0, SUM(Q232:Q$242)*R232*Q$63/Q$64+SUM(Q233:Q$242)*(Q$64-Q$63)/Q$64*R232)</f>
        <v>0</v>
      </c>
      <c r="T232" s="35"/>
      <c r="U232" s="35">
        <f t="shared" si="508"/>
        <v>0</v>
      </c>
      <c r="V232" s="35">
        <f t="shared" si="509"/>
        <v>0</v>
      </c>
      <c r="W232" s="35"/>
      <c r="X232" s="87">
        <f t="shared" si="510"/>
        <v>0</v>
      </c>
      <c r="Y232" s="77" t="str">
        <f t="shared" si="511"/>
        <v xml:space="preserve">   </v>
      </c>
      <c r="Z232" s="87">
        <f>IF($A232&gt;'Debt Service'!X$58, 0, SUM(X232:X$242)*Y232*X$63/X$64+SUM(X233:X$242)*(X$64-X$63)/X$64*Y232)</f>
        <v>0</v>
      </c>
      <c r="AA232" s="87"/>
      <c r="AB232" s="87">
        <f t="shared" si="512"/>
        <v>0</v>
      </c>
      <c r="AC232" s="77" t="str">
        <f t="shared" si="513"/>
        <v xml:space="preserve">   </v>
      </c>
      <c r="AD232" s="87">
        <f>IF($A232&gt;'Debt Service'!AB$58, 0, SUM(AB232:AB$242)*AC232*AB$63/AB$64+SUM(AB233:AB$242)*(AB$64-AB$63)/AB$64*AC232)</f>
        <v>0</v>
      </c>
      <c r="AE232" s="35"/>
      <c r="AF232" s="87">
        <f t="shared" si="514"/>
        <v>0</v>
      </c>
      <c r="AG232" s="77" t="str">
        <f t="shared" si="515"/>
        <v xml:space="preserve">   </v>
      </c>
      <c r="AH232" s="87">
        <f>IF($A232&gt;'Debt Service'!AF$58, 0, SUM(AF232:AF$242)*AG232*AF$63/AF$64+SUM(AF233:AF$242)*(AF$64-AF$63)/AF$64*AG232)</f>
        <v>0</v>
      </c>
      <c r="AI232" s="35"/>
      <c r="AJ232" s="87">
        <f t="shared" si="516"/>
        <v>0</v>
      </c>
      <c r="AK232" s="77" t="str">
        <f t="shared" si="517"/>
        <v xml:space="preserve">   </v>
      </c>
      <c r="AL232" s="87">
        <f>IF($A232&gt;'Debt Service'!AJ$58, 0, SUM(AJ232:AJ$242)*AK232*AJ$63/AJ$64+SUM(AJ233:AJ$242)*(AJ$64-AJ$63)/AJ$64*AK232)</f>
        <v>0</v>
      </c>
      <c r="AM232" s="35"/>
      <c r="AN232" s="87"/>
      <c r="AO232" s="77" t="str">
        <f t="shared" si="518"/>
        <v xml:space="preserve">   </v>
      </c>
      <c r="AP232" s="87">
        <f>IF($A232&gt;'Debt Service'!AN$58, 0, SUM(AN232:AN$242)*AO232*AN$63/AN$64+SUM(AN233:AN$242)*(AN$64-AN$63)/AN$64*AO232)</f>
        <v>0</v>
      </c>
      <c r="AQ232" s="35"/>
      <c r="AR232" s="87">
        <f t="shared" si="519"/>
        <v>0</v>
      </c>
      <c r="AS232" s="77" t="str">
        <f t="shared" si="520"/>
        <v xml:space="preserve">   </v>
      </c>
      <c r="AT232" s="87">
        <f>IF($A232&gt;'Debt Service'!AR$58, 0, SUM(AR232:AR$242)*AS232*AR$63/AR$64+SUM(AR233:AR$242)*(AR$64-AR$63)/AR$64*AS232)</f>
        <v>0</v>
      </c>
      <c r="AV232" s="35">
        <f t="shared" si="521"/>
        <v>0</v>
      </c>
      <c r="AW232" s="35">
        <f t="shared" si="522"/>
        <v>0</v>
      </c>
      <c r="AX232" s="35"/>
      <c r="AY232" s="87">
        <f t="shared" si="523"/>
        <v>0</v>
      </c>
      <c r="AZ232" s="77" t="str">
        <f t="shared" si="524"/>
        <v xml:space="preserve">   </v>
      </c>
      <c r="BA232" s="87">
        <f>IF($A232&gt;'Debt Service'!AY$58, 0, SUM(AY232:AY$242)*AZ232*AY$63/AY$64+SUM(AY233:AY$242)*(AY$64-AY$63)/AY$64*AZ232)</f>
        <v>0</v>
      </c>
      <c r="BB232" s="61"/>
      <c r="BC232" s="87">
        <f t="shared" si="525"/>
        <v>0</v>
      </c>
      <c r="BD232" s="77" t="str">
        <f t="shared" si="526"/>
        <v xml:space="preserve">   </v>
      </c>
      <c r="BE232" s="87">
        <f>IF($A232&gt;'Debt Service'!BC$58, 0, SUM(BC232:BC$242)*BD232*BC$63/BC$64+SUM(BC233:BC$242)*(BC$64-BC$63)/BC$64*BD232)</f>
        <v>0</v>
      </c>
      <c r="BF232" s="61"/>
      <c r="BG232" s="87">
        <f t="shared" si="527"/>
        <v>0</v>
      </c>
      <c r="BH232" s="77" t="str">
        <f t="shared" si="528"/>
        <v xml:space="preserve">   </v>
      </c>
      <c r="BI232" s="87">
        <f>IF($A232&gt;'Debt Service'!BG$58, 0, SUM(BG232:BG$242)*BH232*BG$63/BG$64+SUM(BG233:BG$242)*(BG$64-BG$63)/BG$64*BH232)</f>
        <v>0</v>
      </c>
      <c r="BJ232" s="61"/>
      <c r="BK232" s="35">
        <f t="shared" si="563"/>
        <v>0</v>
      </c>
      <c r="BL232" s="35">
        <f t="shared" si="564"/>
        <v>0</v>
      </c>
      <c r="BM232" s="8"/>
      <c r="BN232" s="87">
        <f t="shared" si="529"/>
        <v>0</v>
      </c>
      <c r="BO232" s="77" t="str">
        <f t="shared" si="530"/>
        <v xml:space="preserve">   </v>
      </c>
      <c r="BP232" s="87">
        <f>IF($A232&gt;'Debt Service'!BN$58, 0, SUM(BN232:BN$242)*BO232*BN$63/BN$64+SUM(BN233:BN$242)*(BN$64-BN$63)/BN$64*BO232)</f>
        <v>0</v>
      </c>
      <c r="BQ232" s="77"/>
      <c r="BR232" s="87">
        <f t="shared" si="531"/>
        <v>0</v>
      </c>
      <c r="BS232" s="77">
        <f t="shared" si="532"/>
        <v>5.6799999999999996E-2</v>
      </c>
      <c r="BT232" s="87">
        <f>IF($A232&gt;'Debt Service'!BR$58, 0, SUM(BR232:BR$242)*BS232*BR$63/BR$64+SUM(BR233:BR$242)*(BR$64-BR$63)/BR$64*BS232)</f>
        <v>194710.39999999999</v>
      </c>
      <c r="BU232" s="87"/>
      <c r="BV232" s="35">
        <f t="shared" si="565"/>
        <v>0</v>
      </c>
      <c r="BW232" s="35">
        <f t="shared" si="566"/>
        <v>194710.39999999999</v>
      </c>
      <c r="BX232" s="87"/>
      <c r="BY232" s="87">
        <f t="shared" si="533"/>
        <v>0</v>
      </c>
      <c r="BZ232" s="77" t="str">
        <f t="shared" si="534"/>
        <v xml:space="preserve">   </v>
      </c>
      <c r="CA232" s="87">
        <f>IF($A232&gt;'Debt Service'!BY$58, 0, SUM(BY232:BY$242)*BZ232*BY$63/BY$64+SUM(BY233:BY$242)*(BY$64-BY$63)/BY$64*BZ232)</f>
        <v>0</v>
      </c>
      <c r="CB232" s="87"/>
      <c r="CC232" s="87">
        <f t="shared" si="535"/>
        <v>0</v>
      </c>
      <c r="CD232" s="77" t="str">
        <f t="shared" si="536"/>
        <v xml:space="preserve">   </v>
      </c>
      <c r="CE232" s="87">
        <f>IF(OR($A232&gt;'Debt Service'!CC$58,$A232&lt;CC$51), 0, SUM(CC232:CC$242)*CD232*CC$63/CC$64+SUM(CC233:CC$242)*(CC$64-CC$63)/CC$64*CD232)</f>
        <v>0</v>
      </c>
      <c r="CF232" s="87"/>
      <c r="CG232" s="87">
        <f t="shared" si="537"/>
        <v>0</v>
      </c>
      <c r="CH232" s="77">
        <f t="shared" si="538"/>
        <v>5.6799999999999996E-2</v>
      </c>
      <c r="CI232" s="87">
        <f>IF(OR($A232&gt;'Debt Service'!CG$58,$A232&lt;CG$51), 0, SUM(CG232:CG$242)*CH232*CG$63/CG$64+SUM(CG233:CG$242)*(CG$64-CG$63)/CG$64*CH232)</f>
        <v>180453.59999999998</v>
      </c>
      <c r="CJ232" s="87"/>
      <c r="CK232" s="87">
        <f t="shared" si="539"/>
        <v>0</v>
      </c>
      <c r="CL232" s="77">
        <f t="shared" si="540"/>
        <v>6.0999999999999999E-2</v>
      </c>
      <c r="CM232" s="87">
        <f>IF(OR($A232&gt;'Debt Service'!CK$58,$A232&lt;CK$51), 0, SUM(CK232:CK$242)*CL232*CK$63/CK$64+SUM(CK233:CK$242)*(CK$64-CK$63)/CK$64*CL232)</f>
        <v>198067</v>
      </c>
      <c r="CN232" s="87"/>
      <c r="CO232" s="162">
        <f t="shared" si="541"/>
        <v>0</v>
      </c>
      <c r="CP232" s="87">
        <f t="shared" si="542"/>
        <v>378520.6</v>
      </c>
      <c r="CQ232" s="87"/>
      <c r="CR232" s="87">
        <f t="shared" si="543"/>
        <v>0</v>
      </c>
      <c r="CS232" s="77" t="str">
        <f t="shared" si="544"/>
        <v xml:space="preserve">   </v>
      </c>
      <c r="CT232" s="87">
        <f>IF(OR($A232&gt;'Debt Service'!CR$58,$A232&lt;CR$51), 0, SUM(CR232:CR$242)*CS232*CR$63/CR$64+SUM(CR233:CR$242)*(CR$64-CR$63)/CR$64*CS232)</f>
        <v>0</v>
      </c>
      <c r="CU232" s="87"/>
      <c r="CV232" s="87">
        <f t="shared" si="545"/>
        <v>0</v>
      </c>
      <c r="CW232" s="77">
        <f t="shared" si="546"/>
        <v>6.0999999999999999E-2</v>
      </c>
      <c r="CX232" s="87">
        <f>IF(OR($A232&gt;'Debt Service'!CV$58,$A232&lt;CV$51), 0, SUM(CV232:CV$242)*CW232*CV$63/CV$64+SUM(CV233:CV$242)*(CV$64-CV$63)/CV$64*CW232)</f>
        <v>206119</v>
      </c>
      <c r="CY232" s="87"/>
      <c r="CZ232" s="165">
        <f t="shared" si="547"/>
        <v>0</v>
      </c>
      <c r="DA232" s="165">
        <f t="shared" si="548"/>
        <v>206119</v>
      </c>
      <c r="DB232" s="87"/>
      <c r="DC232" s="87">
        <f t="shared" si="549"/>
        <v>0</v>
      </c>
      <c r="DD232" s="77" t="str">
        <f t="shared" si="550"/>
        <v xml:space="preserve">   </v>
      </c>
      <c r="DE232" s="87">
        <f>IF(OR($A232&gt;DC$191, $A232&lt;DC$51), 0, SUM(DC232:DC$242)*DD232*DC$63/DC$64+SUM(DC233:DC$242)*(DC$64-DC$63)/DC$64*DD232)</f>
        <v>0</v>
      </c>
      <c r="DF232" s="87"/>
      <c r="DG232" s="87">
        <f t="shared" si="551"/>
        <v>0</v>
      </c>
      <c r="DH232" s="77" t="str">
        <f t="shared" si="552"/>
        <v xml:space="preserve">   </v>
      </c>
      <c r="DI232" s="87">
        <f>IF(OR($A232&gt;DG$58, $A232&lt;DG$51), 0, SUM(DG232:DG$242)*DH232*DG$63/DG$64+SUM(DG233:DG$242)*(DG$64-DG$63)/DG$64*DH232)</f>
        <v>0</v>
      </c>
      <c r="DJ232" s="87"/>
      <c r="DK232" s="87">
        <f t="shared" si="553"/>
        <v>0</v>
      </c>
      <c r="DL232" s="77" t="str">
        <f t="shared" si="554"/>
        <v xml:space="preserve">   </v>
      </c>
      <c r="DM232" s="87">
        <f>IF(OR($A232&gt;DK$58, $A232&lt;DK$51), 0, SUM(DK232:DK$242)*DL232*DK$63/DK$64+SUM(DK233:DK$242)*(DK$64-DK$63)/DK$64*DL232)</f>
        <v>0</v>
      </c>
      <c r="DN232" s="87"/>
      <c r="DO232" s="87">
        <f t="shared" si="555"/>
        <v>0</v>
      </c>
      <c r="DP232" s="77" t="str">
        <f t="shared" si="556"/>
        <v xml:space="preserve">   </v>
      </c>
      <c r="DQ232" s="87">
        <f>IF(OR($A232&gt;DO$58, $A232&lt;DO$51), 0, SUM(DO232:DO$242)*DP232*DO$63/DO$64+SUM(DO233:DO$242)*(DO$64-DO$63)/DO$64*DP232)</f>
        <v>0</v>
      </c>
      <c r="DR232" s="87"/>
      <c r="DS232" s="87">
        <f t="shared" si="557"/>
        <v>0</v>
      </c>
      <c r="DT232" s="77" t="str">
        <f t="shared" si="558"/>
        <v xml:space="preserve">   </v>
      </c>
      <c r="DU232" s="87">
        <f>IF(OR($A232&gt;DS$58, $A232&lt;DS$51), 0, SUM(DS232:DS$242)*DT232*DS$63/DS$64+SUM(DS233:DS$242)*(DS$64-DS$63)/DS$64*DT232)</f>
        <v>0</v>
      </c>
      <c r="DV232" s="87"/>
      <c r="DW232" s="165">
        <f t="shared" si="571"/>
        <v>0</v>
      </c>
      <c r="DX232" s="165">
        <f t="shared" si="568"/>
        <v>779350</v>
      </c>
      <c r="DY232" s="87"/>
      <c r="DZ232" s="53">
        <f t="shared" si="559"/>
        <v>2050</v>
      </c>
      <c r="EA232" s="35">
        <f t="shared" si="560"/>
        <v>0</v>
      </c>
      <c r="EB232" s="35">
        <f t="shared" si="561"/>
        <v>779350</v>
      </c>
      <c r="EC232" s="35">
        <f t="shared" si="570"/>
        <v>13231000</v>
      </c>
      <c r="ED232" s="143">
        <f t="shared" si="569"/>
        <v>27</v>
      </c>
      <c r="EE232"/>
    </row>
    <row r="233" spans="1:135" s="33" customFormat="1" outlineLevel="1">
      <c r="A233" s="7">
        <f t="shared" si="562"/>
        <v>2051</v>
      </c>
      <c r="B233" s="151">
        <f>Assumptions!B35</f>
        <v>5.3800000000000001E-2</v>
      </c>
      <c r="C233" s="151">
        <f>Assumptions!C35</f>
        <v>5.3800000000000001E-2</v>
      </c>
      <c r="D233" s="151">
        <f>Assumptions!D35</f>
        <v>3.5000000000000003E-2</v>
      </c>
      <c r="E233" s="151">
        <f>Assumptions!E35</f>
        <v>5.2999999999999999E-2</v>
      </c>
      <c r="F233" s="8"/>
      <c r="G233" s="8"/>
      <c r="H233" s="8"/>
      <c r="I233" s="8"/>
      <c r="J233" s="8"/>
      <c r="K233" s="8"/>
      <c r="L233" s="8"/>
      <c r="M233" s="87">
        <f t="shared" si="504"/>
        <v>0</v>
      </c>
      <c r="N233" s="77" t="str">
        <f t="shared" si="505"/>
        <v xml:space="preserve">   </v>
      </c>
      <c r="O233" s="87">
        <f>IF($A233&gt;'Debt Service'!M$58, 0, SUM(M233:M$242)*N233*M$63/M$64+SUM(M234:M$242)*(M$64-M$63)/M$64*N233)</f>
        <v>0</v>
      </c>
      <c r="P233" s="35"/>
      <c r="Q233" s="87">
        <f t="shared" si="506"/>
        <v>0</v>
      </c>
      <c r="R233" s="77" t="str">
        <f t="shared" si="507"/>
        <v xml:space="preserve">   </v>
      </c>
      <c r="S233" s="87">
        <f>IF($A233&gt;'Debt Service'!Q$58, 0, SUM(Q233:Q$242)*R233*Q$63/Q$64+SUM(Q234:Q$242)*(Q$64-Q$63)/Q$64*R233)</f>
        <v>0</v>
      </c>
      <c r="T233" s="35"/>
      <c r="U233" s="35">
        <f t="shared" si="508"/>
        <v>0</v>
      </c>
      <c r="V233" s="35">
        <f t="shared" si="509"/>
        <v>0</v>
      </c>
      <c r="W233" s="35"/>
      <c r="X233" s="87">
        <f t="shared" si="510"/>
        <v>0</v>
      </c>
      <c r="Y233" s="77" t="str">
        <f t="shared" si="511"/>
        <v xml:space="preserve">   </v>
      </c>
      <c r="Z233" s="87">
        <f>IF($A233&gt;'Debt Service'!X$58, 0, SUM(X233:X$242)*Y233*X$63/X$64+SUM(X234:X$242)*(X$64-X$63)/X$64*Y233)</f>
        <v>0</v>
      </c>
      <c r="AA233" s="87"/>
      <c r="AB233" s="87">
        <f t="shared" si="512"/>
        <v>0</v>
      </c>
      <c r="AC233" s="77" t="str">
        <f t="shared" si="513"/>
        <v xml:space="preserve">   </v>
      </c>
      <c r="AD233" s="87">
        <f>IF($A233&gt;'Debt Service'!AB$58, 0, SUM(AB233:AB$242)*AC233*AB$63/AB$64+SUM(AB234:AB$242)*(AB$64-AB$63)/AB$64*AC233)</f>
        <v>0</v>
      </c>
      <c r="AE233" s="35"/>
      <c r="AF233" s="87">
        <f t="shared" si="514"/>
        <v>0</v>
      </c>
      <c r="AG233" s="77" t="str">
        <f t="shared" si="515"/>
        <v xml:space="preserve">   </v>
      </c>
      <c r="AH233" s="87">
        <f>IF($A233&gt;'Debt Service'!AF$58, 0, SUM(AF233:AF$242)*AG233*AF$63/AF$64+SUM(AF234:AF$242)*(AF$64-AF$63)/AF$64*AG233)</f>
        <v>0</v>
      </c>
      <c r="AI233" s="35"/>
      <c r="AJ233" s="87">
        <f t="shared" si="516"/>
        <v>0</v>
      </c>
      <c r="AK233" s="77" t="str">
        <f t="shared" si="517"/>
        <v xml:space="preserve">   </v>
      </c>
      <c r="AL233" s="87">
        <f>IF($A233&gt;'Debt Service'!AJ$58, 0, SUM(AJ233:AJ$242)*AK233*AJ$63/AJ$64+SUM(AJ234:AJ$242)*(AJ$64-AJ$63)/AJ$64*AK233)</f>
        <v>0</v>
      </c>
      <c r="AM233" s="35"/>
      <c r="AN233" s="87"/>
      <c r="AO233" s="77" t="str">
        <f t="shared" si="518"/>
        <v xml:space="preserve">   </v>
      </c>
      <c r="AP233" s="87">
        <f>IF($A233&gt;'Debt Service'!AN$58, 0, SUM(AN233:AN$242)*AO233*AN$63/AN$64+SUM(AN234:AN$242)*(AN$64-AN$63)/AN$64*AO233)</f>
        <v>0</v>
      </c>
      <c r="AQ233" s="35"/>
      <c r="AR233" s="87">
        <f t="shared" si="519"/>
        <v>0</v>
      </c>
      <c r="AS233" s="77" t="str">
        <f t="shared" si="520"/>
        <v xml:space="preserve">   </v>
      </c>
      <c r="AT233" s="87">
        <f>IF($A233&gt;'Debt Service'!AR$58, 0, SUM(AR233:AR$242)*AS233*AR$63/AR$64+SUM(AR234:AR$242)*(AR$64-AR$63)/AR$64*AS233)</f>
        <v>0</v>
      </c>
      <c r="AV233" s="35">
        <f t="shared" si="521"/>
        <v>0</v>
      </c>
      <c r="AW233" s="35">
        <f t="shared" si="522"/>
        <v>0</v>
      </c>
      <c r="AX233" s="35"/>
      <c r="AY233" s="87">
        <f t="shared" si="523"/>
        <v>0</v>
      </c>
      <c r="AZ233" s="77" t="str">
        <f t="shared" si="524"/>
        <v xml:space="preserve">   </v>
      </c>
      <c r="BA233" s="87">
        <f>IF($A233&gt;'Debt Service'!AY$58, 0, SUM(AY233:AY$242)*AZ233*AY$63/AY$64+SUM(AY234:AY$242)*(AY$64-AY$63)/AY$64*AZ233)</f>
        <v>0</v>
      </c>
      <c r="BB233" s="61"/>
      <c r="BC233" s="87">
        <f t="shared" si="525"/>
        <v>0</v>
      </c>
      <c r="BD233" s="77" t="str">
        <f t="shared" si="526"/>
        <v xml:space="preserve">   </v>
      </c>
      <c r="BE233" s="87">
        <f>IF($A233&gt;'Debt Service'!BC$58, 0, SUM(BC233:BC$242)*BD233*BC$63/BC$64+SUM(BC234:BC$242)*(BC$64-BC$63)/BC$64*BD233)</f>
        <v>0</v>
      </c>
      <c r="BF233" s="61"/>
      <c r="BG233" s="87">
        <f t="shared" si="527"/>
        <v>0</v>
      </c>
      <c r="BH233" s="77" t="str">
        <f t="shared" si="528"/>
        <v xml:space="preserve">   </v>
      </c>
      <c r="BI233" s="87">
        <f>IF($A233&gt;'Debt Service'!BG$58, 0, SUM(BG233:BG$242)*BH233*BG$63/BG$64+SUM(BG234:BG$242)*(BG$64-BG$63)/BG$64*BH233)</f>
        <v>0</v>
      </c>
      <c r="BJ233" s="61"/>
      <c r="BK233" s="35">
        <f t="shared" si="563"/>
        <v>0</v>
      </c>
      <c r="BL233" s="35">
        <f t="shared" si="564"/>
        <v>0</v>
      </c>
      <c r="BM233" s="8"/>
      <c r="BN233" s="87">
        <f t="shared" si="529"/>
        <v>0</v>
      </c>
      <c r="BO233" s="77" t="str">
        <f t="shared" si="530"/>
        <v xml:space="preserve">   </v>
      </c>
      <c r="BP233" s="87">
        <f>IF($A233&gt;'Debt Service'!BN$58, 0, SUM(BN233:BN$242)*BO233*BN$63/BN$64+SUM(BN234:BN$242)*(BN$64-BN$63)/BN$64*BO233)</f>
        <v>0</v>
      </c>
      <c r="BQ233" s="77"/>
      <c r="BR233" s="87">
        <f t="shared" si="531"/>
        <v>0</v>
      </c>
      <c r="BS233" s="77">
        <f t="shared" si="532"/>
        <v>5.6799999999999996E-2</v>
      </c>
      <c r="BT233" s="87">
        <f>IF($A233&gt;'Debt Service'!BR$58, 0, SUM(BR233:BR$242)*BS233*BR$63/BR$64+SUM(BR234:BR$242)*(BR$64-BR$63)/BR$64*BS233)</f>
        <v>194710.39999999999</v>
      </c>
      <c r="BU233" s="87"/>
      <c r="BV233" s="35">
        <f t="shared" si="565"/>
        <v>0</v>
      </c>
      <c r="BW233" s="35">
        <f t="shared" si="566"/>
        <v>194710.39999999999</v>
      </c>
      <c r="BX233" s="87"/>
      <c r="BY233" s="87">
        <f t="shared" si="533"/>
        <v>0</v>
      </c>
      <c r="BZ233" s="77" t="str">
        <f t="shared" si="534"/>
        <v xml:space="preserve">   </v>
      </c>
      <c r="CA233" s="87">
        <f>IF($A233&gt;'Debt Service'!BY$58, 0, SUM(BY233:BY$242)*BZ233*BY$63/BY$64+SUM(BY234:BY$242)*(BY$64-BY$63)/BY$64*BZ233)</f>
        <v>0</v>
      </c>
      <c r="CB233" s="87"/>
      <c r="CC233" s="87">
        <f t="shared" si="535"/>
        <v>0</v>
      </c>
      <c r="CD233" s="77" t="str">
        <f t="shared" si="536"/>
        <v xml:space="preserve">   </v>
      </c>
      <c r="CE233" s="87">
        <f>IF(OR($A233&gt;'Debt Service'!CC$58,$A233&lt;CC$51), 0, SUM(CC233:CC$242)*CD233*CC$63/CC$64+SUM(CC234:CC$242)*(CC$64-CC$63)/CC$64*CD233)</f>
        <v>0</v>
      </c>
      <c r="CF233" s="87"/>
      <c r="CG233" s="87">
        <f t="shared" si="537"/>
        <v>0</v>
      </c>
      <c r="CH233" s="77">
        <f t="shared" si="538"/>
        <v>5.6799999999999996E-2</v>
      </c>
      <c r="CI233" s="87">
        <f>IF(OR($A233&gt;'Debt Service'!CG$58,$A233&lt;CG$51), 0, SUM(CG233:CG$242)*CH233*CG$63/CG$64+SUM(CG234:CG$242)*(CG$64-CG$63)/CG$64*CH233)</f>
        <v>180453.59999999998</v>
      </c>
      <c r="CJ233" s="87"/>
      <c r="CK233" s="87">
        <f t="shared" si="539"/>
        <v>0</v>
      </c>
      <c r="CL233" s="77">
        <f t="shared" si="540"/>
        <v>6.0999999999999999E-2</v>
      </c>
      <c r="CM233" s="87">
        <f>IF(OR($A233&gt;'Debt Service'!CK$58,$A233&lt;CK$51), 0, SUM(CK233:CK$242)*CL233*CK$63/CK$64+SUM(CK234:CK$242)*(CK$64-CK$63)/CK$64*CL233)</f>
        <v>198067</v>
      </c>
      <c r="CN233" s="87"/>
      <c r="CO233" s="162">
        <f t="shared" si="541"/>
        <v>0</v>
      </c>
      <c r="CP233" s="87">
        <f t="shared" si="542"/>
        <v>378520.6</v>
      </c>
      <c r="CQ233" s="87"/>
      <c r="CR233" s="87">
        <f t="shared" si="543"/>
        <v>0</v>
      </c>
      <c r="CS233" s="77" t="str">
        <f t="shared" si="544"/>
        <v xml:space="preserve">   </v>
      </c>
      <c r="CT233" s="87">
        <f>IF(OR($A233&gt;'Debt Service'!CR$58,$A233&lt;CR$51), 0, SUM(CR233:CR$242)*CS233*CR$63/CR$64+SUM(CR234:CR$242)*(CR$64-CR$63)/CR$64*CS233)</f>
        <v>0</v>
      </c>
      <c r="CU233" s="87"/>
      <c r="CV233" s="87">
        <f t="shared" si="545"/>
        <v>0</v>
      </c>
      <c r="CW233" s="77">
        <f t="shared" si="546"/>
        <v>6.0999999999999999E-2</v>
      </c>
      <c r="CX233" s="87">
        <f>IF(OR($A233&gt;'Debt Service'!CV$58,$A233&lt;CV$51), 0, SUM(CV233:CV$242)*CW233*CV$63/CV$64+SUM(CV234:CV$242)*(CV$64-CV$63)/CV$64*CW233)</f>
        <v>206119</v>
      </c>
      <c r="CY233" s="87"/>
      <c r="CZ233" s="165">
        <f t="shared" si="547"/>
        <v>0</v>
      </c>
      <c r="DA233" s="165">
        <f t="shared" si="548"/>
        <v>206119</v>
      </c>
      <c r="DB233" s="87"/>
      <c r="DC233" s="87">
        <f t="shared" si="549"/>
        <v>0</v>
      </c>
      <c r="DD233" s="77" t="str">
        <f t="shared" si="550"/>
        <v xml:space="preserve">   </v>
      </c>
      <c r="DE233" s="87">
        <f>IF(OR($A233&gt;DC$191, $A233&lt;DC$51), 0, SUM(DC233:DC$242)*DD233*DC$63/DC$64+SUM(DC234:DC$242)*(DC$64-DC$63)/DC$64*DD233)</f>
        <v>0</v>
      </c>
      <c r="DF233" s="87"/>
      <c r="DG233" s="87">
        <f t="shared" si="551"/>
        <v>0</v>
      </c>
      <c r="DH233" s="77" t="str">
        <f t="shared" si="552"/>
        <v xml:space="preserve">   </v>
      </c>
      <c r="DI233" s="87">
        <f>IF(OR($A233&gt;DG$58, $A233&lt;DG$51), 0, SUM(DG233:DG$242)*DH233*DG$63/DG$64+SUM(DG234:DG$242)*(DG$64-DG$63)/DG$64*DH233)</f>
        <v>0</v>
      </c>
      <c r="DJ233" s="87"/>
      <c r="DK233" s="87">
        <f t="shared" si="553"/>
        <v>0</v>
      </c>
      <c r="DL233" s="77" t="str">
        <f t="shared" si="554"/>
        <v xml:space="preserve">   </v>
      </c>
      <c r="DM233" s="87">
        <f>IF(OR($A233&gt;DK$58, $A233&lt;DK$51), 0, SUM(DK233:DK$242)*DL233*DK$63/DK$64+SUM(DK234:DK$242)*(DK$64-DK$63)/DK$64*DL233)</f>
        <v>0</v>
      </c>
      <c r="DN233" s="87"/>
      <c r="DO233" s="87">
        <f t="shared" si="555"/>
        <v>0</v>
      </c>
      <c r="DP233" s="77" t="str">
        <f t="shared" si="556"/>
        <v xml:space="preserve">   </v>
      </c>
      <c r="DQ233" s="87">
        <f>IF(OR($A233&gt;DO$58, $A233&lt;DO$51), 0, SUM(DO233:DO$242)*DP233*DO$63/DO$64+SUM(DO234:DO$242)*(DO$64-DO$63)/DO$64*DP233)</f>
        <v>0</v>
      </c>
      <c r="DR233" s="87"/>
      <c r="DS233" s="87">
        <f t="shared" si="557"/>
        <v>0</v>
      </c>
      <c r="DT233" s="77" t="str">
        <f t="shared" si="558"/>
        <v xml:space="preserve">   </v>
      </c>
      <c r="DU233" s="87">
        <f>IF(OR($A233&gt;DS$58, $A233&lt;DS$51), 0, SUM(DS233:DS$242)*DT233*DS$63/DS$64+SUM(DS234:DS$242)*(DS$64-DS$63)/DS$64*DT233)</f>
        <v>0</v>
      </c>
      <c r="DV233" s="87"/>
      <c r="DW233" s="165">
        <f t="shared" si="571"/>
        <v>0</v>
      </c>
      <c r="DX233" s="165">
        <f t="shared" si="568"/>
        <v>779350</v>
      </c>
      <c r="DY233" s="87"/>
      <c r="DZ233" s="53">
        <f t="shared" si="559"/>
        <v>2051</v>
      </c>
      <c r="EA233" s="35">
        <f t="shared" si="560"/>
        <v>0</v>
      </c>
      <c r="EB233" s="35">
        <f t="shared" si="561"/>
        <v>779350</v>
      </c>
      <c r="EC233" s="35">
        <f t="shared" si="570"/>
        <v>13231000</v>
      </c>
      <c r="ED233" s="143">
        <f t="shared" si="569"/>
        <v>28</v>
      </c>
      <c r="EE233"/>
    </row>
    <row r="234" spans="1:135" s="33" customFormat="1" outlineLevel="1">
      <c r="A234" s="7">
        <f t="shared" si="562"/>
        <v>2052</v>
      </c>
      <c r="B234" s="151">
        <f>Assumptions!B36</f>
        <v>5.3800000000000001E-2</v>
      </c>
      <c r="C234" s="151">
        <f>Assumptions!C36</f>
        <v>5.3800000000000001E-2</v>
      </c>
      <c r="D234" s="151">
        <f>Assumptions!D36</f>
        <v>3.5000000000000003E-2</v>
      </c>
      <c r="E234" s="151">
        <f>Assumptions!E36</f>
        <v>5.2999999999999999E-2</v>
      </c>
      <c r="F234" s="8"/>
      <c r="G234" s="8"/>
      <c r="H234" s="8"/>
      <c r="I234" s="8"/>
      <c r="J234" s="8"/>
      <c r="K234" s="8"/>
      <c r="L234" s="8"/>
      <c r="M234" s="87">
        <f t="shared" si="504"/>
        <v>0</v>
      </c>
      <c r="N234" s="77" t="str">
        <f t="shared" si="505"/>
        <v xml:space="preserve">   </v>
      </c>
      <c r="O234" s="87">
        <f>IF($A234&gt;'Debt Service'!M$58, 0, SUM(M234:M$242)*N234*M$63/M$64+SUM(M235:M$242)*(M$64-M$63)/M$64*N234)</f>
        <v>0</v>
      </c>
      <c r="P234" s="35"/>
      <c r="Q234" s="87">
        <f t="shared" si="506"/>
        <v>0</v>
      </c>
      <c r="R234" s="77" t="str">
        <f t="shared" si="507"/>
        <v xml:space="preserve">   </v>
      </c>
      <c r="S234" s="87">
        <f>IF($A234&gt;'Debt Service'!Q$58, 0, SUM(Q234:Q$242)*R234*Q$63/Q$64+SUM(Q235:Q$242)*(Q$64-Q$63)/Q$64*R234)</f>
        <v>0</v>
      </c>
      <c r="T234" s="35"/>
      <c r="U234" s="35">
        <f t="shared" si="508"/>
        <v>0</v>
      </c>
      <c r="V234" s="35">
        <f t="shared" si="509"/>
        <v>0</v>
      </c>
      <c r="W234" s="35"/>
      <c r="X234" s="87">
        <f t="shared" si="510"/>
        <v>0</v>
      </c>
      <c r="Y234" s="77" t="str">
        <f t="shared" si="511"/>
        <v xml:space="preserve">   </v>
      </c>
      <c r="Z234" s="87">
        <f>IF($A234&gt;'Debt Service'!X$58, 0, SUM(X234:X$242)*Y234*X$63/X$64+SUM(X235:X$242)*(X$64-X$63)/X$64*Y234)</f>
        <v>0</v>
      </c>
      <c r="AA234" s="87"/>
      <c r="AB234" s="87">
        <f t="shared" si="512"/>
        <v>0</v>
      </c>
      <c r="AC234" s="77" t="str">
        <f t="shared" si="513"/>
        <v xml:space="preserve">   </v>
      </c>
      <c r="AD234" s="87">
        <f>IF($A234&gt;'Debt Service'!AB$58, 0, SUM(AB234:AB$242)*AC234*AB$63/AB$64+SUM(AB235:AB$242)*(AB$64-AB$63)/AB$64*AC234)</f>
        <v>0</v>
      </c>
      <c r="AE234" s="35"/>
      <c r="AF234" s="87">
        <f t="shared" si="514"/>
        <v>0</v>
      </c>
      <c r="AG234" s="77" t="str">
        <f t="shared" si="515"/>
        <v xml:space="preserve">   </v>
      </c>
      <c r="AH234" s="87">
        <f>IF($A234&gt;'Debt Service'!AF$58, 0, SUM(AF234:AF$242)*AG234*AF$63/AF$64+SUM(AF235:AF$242)*(AF$64-AF$63)/AF$64*AG234)</f>
        <v>0</v>
      </c>
      <c r="AI234" s="35"/>
      <c r="AJ234" s="87">
        <f t="shared" si="516"/>
        <v>0</v>
      </c>
      <c r="AK234" s="77" t="str">
        <f t="shared" si="517"/>
        <v xml:space="preserve">   </v>
      </c>
      <c r="AL234" s="87">
        <f>IF($A234&gt;'Debt Service'!AJ$58, 0, SUM(AJ234:AJ$242)*AK234*AJ$63/AJ$64+SUM(AJ235:AJ$242)*(AJ$64-AJ$63)/AJ$64*AK234)</f>
        <v>0</v>
      </c>
      <c r="AM234" s="35"/>
      <c r="AN234" s="87"/>
      <c r="AO234" s="77" t="str">
        <f t="shared" si="518"/>
        <v xml:space="preserve">   </v>
      </c>
      <c r="AP234" s="87">
        <f>IF($A234&gt;'Debt Service'!AN$58, 0, SUM(AN234:AN$242)*AO234*AN$63/AN$64+SUM(AN235:AN$242)*(AN$64-AN$63)/AN$64*AO234)</f>
        <v>0</v>
      </c>
      <c r="AQ234" s="35"/>
      <c r="AR234" s="87">
        <f t="shared" si="519"/>
        <v>0</v>
      </c>
      <c r="AS234" s="77" t="str">
        <f t="shared" si="520"/>
        <v xml:space="preserve">   </v>
      </c>
      <c r="AT234" s="87">
        <f>IF($A234&gt;'Debt Service'!AR$58, 0, SUM(AR234:AR$242)*AS234*AR$63/AR$64+SUM(AR235:AR$242)*(AR$64-AR$63)/AR$64*AS234)</f>
        <v>0</v>
      </c>
      <c r="AV234" s="35">
        <f t="shared" si="521"/>
        <v>0</v>
      </c>
      <c r="AW234" s="35">
        <f t="shared" si="522"/>
        <v>0</v>
      </c>
      <c r="AX234" s="35"/>
      <c r="AY234" s="87">
        <f t="shared" si="523"/>
        <v>0</v>
      </c>
      <c r="AZ234" s="77" t="str">
        <f t="shared" si="524"/>
        <v xml:space="preserve">   </v>
      </c>
      <c r="BA234" s="87">
        <f>IF($A234&gt;'Debt Service'!AY$58, 0, SUM(AY234:AY$242)*AZ234*AY$63/AY$64+SUM(AY235:AY$242)*(AY$64-AY$63)/AY$64*AZ234)</f>
        <v>0</v>
      </c>
      <c r="BB234" s="61"/>
      <c r="BC234" s="87">
        <f t="shared" si="525"/>
        <v>0</v>
      </c>
      <c r="BD234" s="77" t="str">
        <f t="shared" si="526"/>
        <v xml:space="preserve">   </v>
      </c>
      <c r="BE234" s="87">
        <f>IF($A234&gt;'Debt Service'!BC$58, 0, SUM(BC234:BC$242)*BD234*BC$63/BC$64+SUM(BC235:BC$242)*(BC$64-BC$63)/BC$64*BD234)</f>
        <v>0</v>
      </c>
      <c r="BF234" s="61"/>
      <c r="BG234" s="87">
        <f t="shared" si="527"/>
        <v>0</v>
      </c>
      <c r="BH234" s="77" t="str">
        <f t="shared" si="528"/>
        <v xml:space="preserve">   </v>
      </c>
      <c r="BI234" s="87">
        <f>IF($A234&gt;'Debt Service'!BG$58, 0, SUM(BG234:BG$242)*BH234*BG$63/BG$64+SUM(BG235:BG$242)*(BG$64-BG$63)/BG$64*BH234)</f>
        <v>0</v>
      </c>
      <c r="BJ234" s="61"/>
      <c r="BK234" s="35">
        <f t="shared" si="563"/>
        <v>0</v>
      </c>
      <c r="BL234" s="35">
        <f t="shared" si="564"/>
        <v>0</v>
      </c>
      <c r="BM234" s="8"/>
      <c r="BN234" s="87">
        <f t="shared" si="529"/>
        <v>0</v>
      </c>
      <c r="BO234" s="77" t="str">
        <f t="shared" si="530"/>
        <v xml:space="preserve">   </v>
      </c>
      <c r="BP234" s="87">
        <f>IF($A234&gt;'Debt Service'!BN$58, 0, SUM(BN234:BN$242)*BO234*BN$63/BN$64+SUM(BN235:BN$242)*(BN$64-BN$63)/BN$64*BO234)</f>
        <v>0</v>
      </c>
      <c r="BQ234" s="77"/>
      <c r="BR234" s="87">
        <f t="shared" si="531"/>
        <v>0</v>
      </c>
      <c r="BS234" s="77">
        <f t="shared" si="532"/>
        <v>5.6799999999999996E-2</v>
      </c>
      <c r="BT234" s="87">
        <f>IF($A234&gt;'Debt Service'!BR$58, 0, SUM(BR234:BR$242)*BS234*BR$63/BR$64+SUM(BR235:BR$242)*(BR$64-BR$63)/BR$64*BS234)</f>
        <v>194710.39999999999</v>
      </c>
      <c r="BU234" s="87"/>
      <c r="BV234" s="35">
        <f t="shared" si="565"/>
        <v>0</v>
      </c>
      <c r="BW234" s="35">
        <f t="shared" si="566"/>
        <v>194710.39999999999</v>
      </c>
      <c r="BX234" s="87"/>
      <c r="BY234" s="87">
        <f t="shared" si="533"/>
        <v>0</v>
      </c>
      <c r="BZ234" s="77" t="str">
        <f t="shared" si="534"/>
        <v xml:space="preserve">   </v>
      </c>
      <c r="CA234" s="87">
        <f>IF($A234&gt;'Debt Service'!BY$58, 0, SUM(BY234:BY$242)*BZ234*BY$63/BY$64+SUM(BY235:BY$242)*(BY$64-BY$63)/BY$64*BZ234)</f>
        <v>0</v>
      </c>
      <c r="CB234" s="87"/>
      <c r="CC234" s="87">
        <f t="shared" si="535"/>
        <v>0</v>
      </c>
      <c r="CD234" s="77" t="str">
        <f t="shared" si="536"/>
        <v xml:space="preserve">   </v>
      </c>
      <c r="CE234" s="87">
        <f>IF(OR($A234&gt;'Debt Service'!CC$58,$A234&lt;CC$51), 0, SUM(CC234:CC$242)*CD234*CC$63/CC$64+SUM(CC235:CC$242)*(CC$64-CC$63)/CC$64*CD234)</f>
        <v>0</v>
      </c>
      <c r="CF234" s="87"/>
      <c r="CG234" s="87">
        <f t="shared" si="537"/>
        <v>0</v>
      </c>
      <c r="CH234" s="77">
        <f t="shared" si="538"/>
        <v>5.6799999999999996E-2</v>
      </c>
      <c r="CI234" s="87">
        <f>IF(OR($A234&gt;'Debt Service'!CG$58,$A234&lt;CG$51), 0, SUM(CG234:CG$242)*CH234*CG$63/CG$64+SUM(CG235:CG$242)*(CG$64-CG$63)/CG$64*CH234)</f>
        <v>180453.59999999998</v>
      </c>
      <c r="CJ234" s="87"/>
      <c r="CK234" s="87">
        <f t="shared" si="539"/>
        <v>0</v>
      </c>
      <c r="CL234" s="77">
        <f t="shared" si="540"/>
        <v>6.0999999999999999E-2</v>
      </c>
      <c r="CM234" s="87">
        <f>IF(OR($A234&gt;'Debt Service'!CK$58,$A234&lt;CK$51), 0, SUM(CK234:CK$242)*CL234*CK$63/CK$64+SUM(CK235:CK$242)*(CK$64-CK$63)/CK$64*CL234)</f>
        <v>198067</v>
      </c>
      <c r="CN234" s="87"/>
      <c r="CO234" s="162">
        <f t="shared" si="541"/>
        <v>0</v>
      </c>
      <c r="CP234" s="87">
        <f t="shared" si="542"/>
        <v>378520.6</v>
      </c>
      <c r="CQ234" s="87"/>
      <c r="CR234" s="87">
        <f t="shared" si="543"/>
        <v>0</v>
      </c>
      <c r="CS234" s="77" t="str">
        <f t="shared" si="544"/>
        <v xml:space="preserve">   </v>
      </c>
      <c r="CT234" s="87">
        <f>IF(OR($A234&gt;'Debt Service'!CR$58,$A234&lt;CR$51), 0, SUM(CR234:CR$242)*CS234*CR$63/CR$64+SUM(CR235:CR$242)*(CR$64-CR$63)/CR$64*CS234)</f>
        <v>0</v>
      </c>
      <c r="CU234" s="87"/>
      <c r="CV234" s="87">
        <f t="shared" si="545"/>
        <v>3379000</v>
      </c>
      <c r="CW234" s="77">
        <f t="shared" si="546"/>
        <v>6.0999999999999999E-2</v>
      </c>
      <c r="CX234" s="87">
        <f>IF(OR($A234&gt;'Debt Service'!CV$58,$A234&lt;CV$51), 0, SUM(CV234:CV$242)*CW234*CV$63/CV$64+SUM(CV235:CV$242)*(CV$64-CV$63)/CV$64*CW234)</f>
        <v>51529.75</v>
      </c>
      <c r="CY234" s="87"/>
      <c r="CZ234" s="165">
        <f t="shared" si="547"/>
        <v>3379000</v>
      </c>
      <c r="DA234" s="165">
        <f t="shared" si="548"/>
        <v>51529.75</v>
      </c>
      <c r="DB234" s="87"/>
      <c r="DC234" s="87">
        <f t="shared" si="549"/>
        <v>0</v>
      </c>
      <c r="DD234" s="77" t="str">
        <f t="shared" si="550"/>
        <v xml:space="preserve">   </v>
      </c>
      <c r="DE234" s="87">
        <f>IF(OR($A234&gt;DC$191, $A234&lt;DC$51), 0, SUM(DC234:DC$242)*DD234*DC$63/DC$64+SUM(DC235:DC$242)*(DC$64-DC$63)/DC$64*DD234)</f>
        <v>0</v>
      </c>
      <c r="DF234" s="87"/>
      <c r="DG234" s="87">
        <f t="shared" si="551"/>
        <v>0</v>
      </c>
      <c r="DH234" s="77" t="str">
        <f t="shared" si="552"/>
        <v xml:space="preserve">   </v>
      </c>
      <c r="DI234" s="87">
        <f>IF(OR($A234&gt;DG$58, $A234&lt;DG$51), 0, SUM(DG234:DG$242)*DH234*DG$63/DG$64+SUM(DG235:DG$242)*(DG$64-DG$63)/DG$64*DH234)</f>
        <v>0</v>
      </c>
      <c r="DJ234" s="87"/>
      <c r="DK234" s="87">
        <f t="shared" si="553"/>
        <v>0</v>
      </c>
      <c r="DL234" s="77" t="str">
        <f t="shared" si="554"/>
        <v xml:space="preserve">   </v>
      </c>
      <c r="DM234" s="87">
        <f>IF(OR($A234&gt;DK$58, $A234&lt;DK$51), 0, SUM(DK234:DK$242)*DL234*DK$63/DK$64+SUM(DK235:DK$242)*(DK$64-DK$63)/DK$64*DL234)</f>
        <v>0</v>
      </c>
      <c r="DN234" s="87"/>
      <c r="DO234" s="87">
        <f t="shared" si="555"/>
        <v>0</v>
      </c>
      <c r="DP234" s="77" t="str">
        <f t="shared" si="556"/>
        <v xml:space="preserve">   </v>
      </c>
      <c r="DQ234" s="87">
        <f>IF(OR($A234&gt;DO$58, $A234&lt;DO$51), 0, SUM(DO234:DO$242)*DP234*DO$63/DO$64+SUM(DO235:DO$242)*(DO$64-DO$63)/DO$64*DP234)</f>
        <v>0</v>
      </c>
      <c r="DR234" s="87"/>
      <c r="DS234" s="87">
        <f t="shared" si="557"/>
        <v>0</v>
      </c>
      <c r="DT234" s="77" t="str">
        <f t="shared" si="558"/>
        <v xml:space="preserve">   </v>
      </c>
      <c r="DU234" s="87">
        <f>IF(OR($A234&gt;DS$58, $A234&lt;DS$51), 0, SUM(DS234:DS$242)*DT234*DS$63/DS$64+SUM(DS235:DS$242)*(DS$64-DS$63)/DS$64*DT234)</f>
        <v>0</v>
      </c>
      <c r="DV234" s="87"/>
      <c r="DW234" s="165">
        <f t="shared" si="571"/>
        <v>3379000</v>
      </c>
      <c r="DX234" s="165">
        <f t="shared" si="568"/>
        <v>624760.75</v>
      </c>
      <c r="DY234" s="87"/>
      <c r="DZ234" s="53">
        <f t="shared" si="559"/>
        <v>2052</v>
      </c>
      <c r="EA234" s="35">
        <f t="shared" si="560"/>
        <v>3379000</v>
      </c>
      <c r="EB234" s="35">
        <f t="shared" si="561"/>
        <v>624760.75</v>
      </c>
      <c r="EC234" s="35">
        <f t="shared" si="570"/>
        <v>9852000</v>
      </c>
      <c r="ED234" s="143">
        <f t="shared" si="569"/>
        <v>29</v>
      </c>
      <c r="EE234"/>
    </row>
    <row r="235" spans="1:135" s="33" customFormat="1" outlineLevel="1">
      <c r="A235" s="7">
        <f t="shared" si="562"/>
        <v>2053</v>
      </c>
      <c r="B235" s="151">
        <f>Assumptions!B37</f>
        <v>5.3800000000000001E-2</v>
      </c>
      <c r="C235" s="151">
        <f>Assumptions!C37</f>
        <v>5.3800000000000001E-2</v>
      </c>
      <c r="D235" s="151">
        <f>Assumptions!D37</f>
        <v>3.5000000000000003E-2</v>
      </c>
      <c r="E235" s="151">
        <f>Assumptions!E37</f>
        <v>5.2999999999999999E-2</v>
      </c>
      <c r="F235" s="8"/>
      <c r="G235" s="8"/>
      <c r="H235" s="8"/>
      <c r="I235" s="8"/>
      <c r="J235" s="8"/>
      <c r="K235" s="8"/>
      <c r="L235" s="8"/>
      <c r="M235" s="87">
        <f t="shared" si="504"/>
        <v>0</v>
      </c>
      <c r="N235" s="77" t="str">
        <f t="shared" si="505"/>
        <v xml:space="preserve">   </v>
      </c>
      <c r="O235" s="87">
        <f>IF($A235&gt;'Debt Service'!M$58, 0, SUM(M235:M$242)*N235*M$63/M$64+SUM(M236:M$242)*(M$64-M$63)/M$64*N235)</f>
        <v>0</v>
      </c>
      <c r="P235" s="35"/>
      <c r="Q235" s="87">
        <f t="shared" si="506"/>
        <v>0</v>
      </c>
      <c r="R235" s="77" t="str">
        <f t="shared" si="507"/>
        <v xml:space="preserve">   </v>
      </c>
      <c r="S235" s="87">
        <f>IF($A235&gt;'Debt Service'!Q$58, 0, SUM(Q235:Q$242)*R235*Q$63/Q$64+SUM(Q236:Q$242)*(Q$64-Q$63)/Q$64*R235)</f>
        <v>0</v>
      </c>
      <c r="T235" s="35"/>
      <c r="U235" s="35">
        <f t="shared" si="508"/>
        <v>0</v>
      </c>
      <c r="V235" s="35">
        <f t="shared" si="509"/>
        <v>0</v>
      </c>
      <c r="W235" s="35"/>
      <c r="X235" s="87">
        <f t="shared" si="510"/>
        <v>0</v>
      </c>
      <c r="Y235" s="77" t="str">
        <f t="shared" si="511"/>
        <v xml:space="preserve">   </v>
      </c>
      <c r="Z235" s="87">
        <f>IF($A235&gt;'Debt Service'!X$58, 0, SUM(X235:X$242)*Y235*X$63/X$64+SUM(X236:X$242)*(X$64-X$63)/X$64*Y235)</f>
        <v>0</v>
      </c>
      <c r="AA235" s="87"/>
      <c r="AB235" s="87">
        <f t="shared" si="512"/>
        <v>0</v>
      </c>
      <c r="AC235" s="77" t="str">
        <f t="shared" si="513"/>
        <v xml:space="preserve">   </v>
      </c>
      <c r="AD235" s="87">
        <f>IF($A235&gt;'Debt Service'!AB$58, 0, SUM(AB235:AB$242)*AC235*AB$63/AB$64+SUM(AB236:AB$242)*(AB$64-AB$63)/AB$64*AC235)</f>
        <v>0</v>
      </c>
      <c r="AE235" s="35"/>
      <c r="AF235" s="87">
        <f t="shared" si="514"/>
        <v>0</v>
      </c>
      <c r="AG235" s="77" t="str">
        <f t="shared" si="515"/>
        <v xml:space="preserve">   </v>
      </c>
      <c r="AH235" s="87">
        <f>IF($A235&gt;'Debt Service'!AF$58, 0, SUM(AF235:AF$242)*AG235*AF$63/AF$64+SUM(AF236:AF$242)*(AF$64-AF$63)/AF$64*AG235)</f>
        <v>0</v>
      </c>
      <c r="AI235" s="35"/>
      <c r="AJ235" s="87">
        <f t="shared" si="516"/>
        <v>0</v>
      </c>
      <c r="AK235" s="77" t="str">
        <f t="shared" si="517"/>
        <v xml:space="preserve">   </v>
      </c>
      <c r="AL235" s="87">
        <f>IF($A235&gt;'Debt Service'!AJ$58, 0, SUM(AJ235:AJ$242)*AK235*AJ$63/AJ$64+SUM(AJ236:AJ$242)*(AJ$64-AJ$63)/AJ$64*AK235)</f>
        <v>0</v>
      </c>
      <c r="AM235" s="35"/>
      <c r="AN235" s="87"/>
      <c r="AO235" s="77" t="str">
        <f t="shared" si="518"/>
        <v xml:space="preserve">   </v>
      </c>
      <c r="AP235" s="87">
        <f>IF($A235&gt;'Debt Service'!AN$58, 0, SUM(AN235:AN$242)*AO235*AN$63/AN$64+SUM(AN236:AN$242)*(AN$64-AN$63)/AN$64*AO235)</f>
        <v>0</v>
      </c>
      <c r="AQ235" s="35"/>
      <c r="AR235" s="87">
        <f t="shared" si="519"/>
        <v>0</v>
      </c>
      <c r="AS235" s="77" t="str">
        <f t="shared" si="520"/>
        <v xml:space="preserve">   </v>
      </c>
      <c r="AT235" s="87">
        <f>IF($A235&gt;'Debt Service'!AR$58, 0, SUM(AR235:AR$242)*AS235*AR$63/AR$64+SUM(AR236:AR$242)*(AR$64-AR$63)/AR$64*AS235)</f>
        <v>0</v>
      </c>
      <c r="AV235" s="35">
        <f t="shared" si="521"/>
        <v>0</v>
      </c>
      <c r="AW235" s="35">
        <f t="shared" si="522"/>
        <v>0</v>
      </c>
      <c r="AX235" s="35"/>
      <c r="AY235" s="87">
        <f t="shared" si="523"/>
        <v>0</v>
      </c>
      <c r="AZ235" s="77" t="str">
        <f t="shared" si="524"/>
        <v xml:space="preserve">   </v>
      </c>
      <c r="BA235" s="87">
        <f>IF($A235&gt;'Debt Service'!AY$58, 0, SUM(AY235:AY$242)*AZ235*AY$63/AY$64+SUM(AY236:AY$242)*(AY$64-AY$63)/AY$64*AZ235)</f>
        <v>0</v>
      </c>
      <c r="BB235" s="61"/>
      <c r="BC235" s="87">
        <f t="shared" si="525"/>
        <v>0</v>
      </c>
      <c r="BD235" s="77" t="str">
        <f t="shared" si="526"/>
        <v xml:space="preserve">   </v>
      </c>
      <c r="BE235" s="87">
        <f>IF($A235&gt;'Debt Service'!BC$58, 0, SUM(BC235:BC$242)*BD235*BC$63/BC$64+SUM(BC236:BC$242)*(BC$64-BC$63)/BC$64*BD235)</f>
        <v>0</v>
      </c>
      <c r="BF235" s="61"/>
      <c r="BG235" s="87">
        <f t="shared" si="527"/>
        <v>0</v>
      </c>
      <c r="BH235" s="77" t="str">
        <f t="shared" si="528"/>
        <v xml:space="preserve">   </v>
      </c>
      <c r="BI235" s="87">
        <f>IF($A235&gt;'Debt Service'!BG$58, 0, SUM(BG235:BG$242)*BH235*BG$63/BG$64+SUM(BG236:BG$242)*(BG$64-BG$63)/BG$64*BH235)</f>
        <v>0</v>
      </c>
      <c r="BJ235" s="61"/>
      <c r="BK235" s="35">
        <f t="shared" si="563"/>
        <v>0</v>
      </c>
      <c r="BL235" s="35">
        <f t="shared" si="564"/>
        <v>0</v>
      </c>
      <c r="BM235" s="8"/>
      <c r="BN235" s="87">
        <f t="shared" si="529"/>
        <v>0</v>
      </c>
      <c r="BO235" s="77" t="str">
        <f t="shared" si="530"/>
        <v xml:space="preserve">   </v>
      </c>
      <c r="BP235" s="87">
        <f>IF($A235&gt;'Debt Service'!BN$58, 0, SUM(BN235:BN$242)*BO235*BN$63/BN$64+SUM(BN236:BN$242)*(BN$64-BN$63)/BN$64*BO235)</f>
        <v>0</v>
      </c>
      <c r="BQ235" s="77"/>
      <c r="BR235" s="87">
        <f t="shared" si="531"/>
        <v>0</v>
      </c>
      <c r="BS235" s="77">
        <f t="shared" si="532"/>
        <v>5.6799999999999996E-2</v>
      </c>
      <c r="BT235" s="87">
        <f>IF($A235&gt;'Debt Service'!BR$58, 0, SUM(BR235:BR$242)*BS235*BR$63/BR$64+SUM(BR236:BR$242)*(BR$64-BR$63)/BR$64*BS235)</f>
        <v>194710.39999999999</v>
      </c>
      <c r="BU235" s="87"/>
      <c r="BV235" s="35">
        <f t="shared" si="565"/>
        <v>0</v>
      </c>
      <c r="BW235" s="35">
        <f t="shared" si="566"/>
        <v>194710.39999999999</v>
      </c>
      <c r="BX235" s="87"/>
      <c r="BY235" s="87">
        <f t="shared" si="533"/>
        <v>0</v>
      </c>
      <c r="BZ235" s="77" t="str">
        <f t="shared" si="534"/>
        <v xml:space="preserve">   </v>
      </c>
      <c r="CA235" s="87">
        <f>IF($A235&gt;'Debt Service'!BY$58, 0, SUM(BY235:BY$242)*BZ235*BY$63/BY$64+SUM(BY236:BY$242)*(BY$64-BY$63)/BY$64*BZ235)</f>
        <v>0</v>
      </c>
      <c r="CB235" s="87"/>
      <c r="CC235" s="87">
        <f t="shared" si="535"/>
        <v>0</v>
      </c>
      <c r="CD235" s="77" t="str">
        <f t="shared" si="536"/>
        <v xml:space="preserve">   </v>
      </c>
      <c r="CE235" s="87">
        <f>IF(OR($A235&gt;'Debt Service'!CC$58,$A235&lt;CC$51), 0, SUM(CC235:CC$242)*CD235*CC$63/CC$64+SUM(CC236:CC$242)*(CC$64-CC$63)/CC$64*CD235)</f>
        <v>0</v>
      </c>
      <c r="CF235" s="87"/>
      <c r="CG235" s="87">
        <f t="shared" si="537"/>
        <v>0</v>
      </c>
      <c r="CH235" s="77">
        <f t="shared" si="538"/>
        <v>5.6799999999999996E-2</v>
      </c>
      <c r="CI235" s="87">
        <f>IF(OR($A235&gt;'Debt Service'!CG$58,$A235&lt;CG$51), 0, SUM(CG235:CG$242)*CH235*CG$63/CG$64+SUM(CG236:CG$242)*(CG$64-CG$63)/CG$64*CH235)</f>
        <v>180453.59999999998</v>
      </c>
      <c r="CJ235" s="87"/>
      <c r="CK235" s="87">
        <f t="shared" si="539"/>
        <v>0</v>
      </c>
      <c r="CL235" s="77">
        <f t="shared" si="540"/>
        <v>6.0999999999999999E-2</v>
      </c>
      <c r="CM235" s="87">
        <f>IF(OR($A235&gt;'Debt Service'!CK$58,$A235&lt;CK$51), 0, SUM(CK235:CK$242)*CL235*CK$63/CK$64+SUM(CK236:CK$242)*(CK$64-CK$63)/CK$64*CL235)</f>
        <v>198067</v>
      </c>
      <c r="CN235" s="87"/>
      <c r="CO235" s="162">
        <f t="shared" si="541"/>
        <v>0</v>
      </c>
      <c r="CP235" s="87">
        <f t="shared" si="542"/>
        <v>378520.6</v>
      </c>
      <c r="CQ235" s="87"/>
      <c r="CR235" s="87">
        <f t="shared" si="543"/>
        <v>0</v>
      </c>
      <c r="CS235" s="77" t="str">
        <f t="shared" si="544"/>
        <v xml:space="preserve">   </v>
      </c>
      <c r="CT235" s="87">
        <f>IF(OR($A235&gt;'Debt Service'!CR$58,$A235&lt;CR$51), 0, SUM(CR235:CR$242)*CS235*CR$63/CR$64+SUM(CR236:CR$242)*(CR$64-CR$63)/CR$64*CS235)</f>
        <v>0</v>
      </c>
      <c r="CU235" s="87"/>
      <c r="CV235" s="87">
        <f t="shared" si="545"/>
        <v>0</v>
      </c>
      <c r="CW235" s="77" t="str">
        <f t="shared" si="546"/>
        <v xml:space="preserve">   </v>
      </c>
      <c r="CX235" s="87">
        <f>IF(OR($A235&gt;'Debt Service'!CV$58,$A235&lt;CV$51), 0, SUM(CV235:CV$242)*CW235*CV$63/CV$64+SUM(CV236:CV$242)*(CV$64-CV$63)/CV$64*CW235)</f>
        <v>0</v>
      </c>
      <c r="CY235" s="87"/>
      <c r="CZ235" s="165">
        <f t="shared" si="547"/>
        <v>0</v>
      </c>
      <c r="DA235" s="165">
        <f t="shared" si="548"/>
        <v>0</v>
      </c>
      <c r="DB235" s="87"/>
      <c r="DC235" s="87">
        <f t="shared" si="549"/>
        <v>0</v>
      </c>
      <c r="DD235" s="77" t="str">
        <f t="shared" si="550"/>
        <v xml:space="preserve">   </v>
      </c>
      <c r="DE235" s="87">
        <f>IF(OR($A235&gt;DC$191, $A235&lt;DC$51), 0, SUM(DC235:DC$242)*DD235*DC$63/DC$64+SUM(DC236:DC$242)*(DC$64-DC$63)/DC$64*DD235)</f>
        <v>0</v>
      </c>
      <c r="DF235" s="87"/>
      <c r="DG235" s="87">
        <f t="shared" si="551"/>
        <v>0</v>
      </c>
      <c r="DH235" s="77" t="str">
        <f t="shared" si="552"/>
        <v xml:space="preserve">   </v>
      </c>
      <c r="DI235" s="87">
        <f>IF(OR($A235&gt;DG$58, $A235&lt;DG$51), 0, SUM(DG235:DG$242)*DH235*DG$63/DG$64+SUM(DG236:DG$242)*(DG$64-DG$63)/DG$64*DH235)</f>
        <v>0</v>
      </c>
      <c r="DJ235" s="87"/>
      <c r="DK235" s="87">
        <f t="shared" si="553"/>
        <v>0</v>
      </c>
      <c r="DL235" s="77" t="str">
        <f t="shared" si="554"/>
        <v xml:space="preserve">   </v>
      </c>
      <c r="DM235" s="87">
        <f>IF(OR($A235&gt;DK$58, $A235&lt;DK$51), 0, SUM(DK235:DK$242)*DL235*DK$63/DK$64+SUM(DK236:DK$242)*(DK$64-DK$63)/DK$64*DL235)</f>
        <v>0</v>
      </c>
      <c r="DN235" s="87"/>
      <c r="DO235" s="87">
        <f t="shared" si="555"/>
        <v>0</v>
      </c>
      <c r="DP235" s="77" t="str">
        <f t="shared" si="556"/>
        <v xml:space="preserve">   </v>
      </c>
      <c r="DQ235" s="87">
        <f>IF(OR($A235&gt;DO$58, $A235&lt;DO$51), 0, SUM(DO235:DO$242)*DP235*DO$63/DO$64+SUM(DO236:DO$242)*(DO$64-DO$63)/DO$64*DP235)</f>
        <v>0</v>
      </c>
      <c r="DR235" s="87"/>
      <c r="DS235" s="87">
        <f t="shared" si="557"/>
        <v>0</v>
      </c>
      <c r="DT235" s="77" t="str">
        <f t="shared" si="558"/>
        <v xml:space="preserve">   </v>
      </c>
      <c r="DU235" s="87">
        <f>IF(OR($A235&gt;DS$58, $A235&lt;DS$51), 0, SUM(DS235:DS$242)*DT235*DS$63/DS$64+SUM(DS236:DS$242)*(DS$64-DS$63)/DS$64*DT235)</f>
        <v>0</v>
      </c>
      <c r="DV235" s="87"/>
      <c r="DW235" s="165">
        <f t="shared" si="571"/>
        <v>0</v>
      </c>
      <c r="DX235" s="165">
        <f t="shared" si="568"/>
        <v>573231</v>
      </c>
      <c r="DY235" s="87"/>
      <c r="DZ235" s="53">
        <f t="shared" si="559"/>
        <v>2053</v>
      </c>
      <c r="EA235" s="35">
        <f t="shared" si="560"/>
        <v>0</v>
      </c>
      <c r="EB235" s="35">
        <f t="shared" si="561"/>
        <v>573231</v>
      </c>
      <c r="EC235" s="35">
        <f t="shared" si="570"/>
        <v>9852000</v>
      </c>
      <c r="ED235" s="143">
        <f t="shared" si="569"/>
        <v>30</v>
      </c>
      <c r="EE235"/>
    </row>
    <row r="236" spans="1:135" s="33" customFormat="1" outlineLevel="1">
      <c r="A236" s="7">
        <f t="shared" si="562"/>
        <v>2054</v>
      </c>
      <c r="B236" s="151">
        <f>Assumptions!B38</f>
        <v>5.3800000000000001E-2</v>
      </c>
      <c r="C236" s="151">
        <f>Assumptions!C38</f>
        <v>5.3800000000000001E-2</v>
      </c>
      <c r="D236" s="151">
        <f>Assumptions!D38</f>
        <v>3.5000000000000003E-2</v>
      </c>
      <c r="E236" s="151">
        <f>Assumptions!E38</f>
        <v>5.2999999999999999E-2</v>
      </c>
      <c r="F236" s="8"/>
      <c r="G236" s="8"/>
      <c r="H236" s="8"/>
      <c r="I236" s="8"/>
      <c r="J236" s="8"/>
      <c r="K236" s="8"/>
      <c r="L236" s="8"/>
      <c r="M236" s="87">
        <f t="shared" si="504"/>
        <v>0</v>
      </c>
      <c r="N236" s="77" t="str">
        <f t="shared" si="505"/>
        <v xml:space="preserve">   </v>
      </c>
      <c r="O236" s="87">
        <f>IF($A236&gt;'Debt Service'!M$58, 0, SUM(M236:M$242)*N236*M$63/M$64+SUM(M237:M$242)*(M$64-M$63)/M$64*N236)</f>
        <v>0</v>
      </c>
      <c r="P236" s="35"/>
      <c r="Q236" s="87">
        <f t="shared" si="506"/>
        <v>0</v>
      </c>
      <c r="R236" s="77" t="str">
        <f t="shared" si="507"/>
        <v xml:space="preserve">   </v>
      </c>
      <c r="S236" s="87">
        <f>IF($A236&gt;'Debt Service'!Q$58, 0, SUM(Q236:Q$242)*R236*Q$63/Q$64+SUM(Q237:Q$242)*(Q$64-Q$63)/Q$64*R236)</f>
        <v>0</v>
      </c>
      <c r="T236" s="35"/>
      <c r="U236" s="35">
        <f t="shared" si="508"/>
        <v>0</v>
      </c>
      <c r="V236" s="35">
        <f t="shared" si="509"/>
        <v>0</v>
      </c>
      <c r="W236" s="35"/>
      <c r="X236" s="87">
        <f t="shared" si="510"/>
        <v>0</v>
      </c>
      <c r="Y236" s="77" t="str">
        <f t="shared" si="511"/>
        <v xml:space="preserve">   </v>
      </c>
      <c r="Z236" s="87">
        <f>IF($A236&gt;'Debt Service'!X$58, 0, SUM(X236:X$242)*Y236*X$63/X$64+SUM(X237:X$242)*(X$64-X$63)/X$64*Y236)</f>
        <v>0</v>
      </c>
      <c r="AA236" s="87"/>
      <c r="AB236" s="87">
        <f t="shared" si="512"/>
        <v>0</v>
      </c>
      <c r="AC236" s="77" t="str">
        <f t="shared" si="513"/>
        <v xml:space="preserve">   </v>
      </c>
      <c r="AD236" s="87">
        <f>IF($A236&gt;'Debt Service'!AB$58, 0, SUM(AB236:AB$242)*AC236*AB$63/AB$64+SUM(AB237:AB$242)*(AB$64-AB$63)/AB$64*AC236)</f>
        <v>0</v>
      </c>
      <c r="AE236" s="35"/>
      <c r="AF236" s="87">
        <f t="shared" si="514"/>
        <v>0</v>
      </c>
      <c r="AG236" s="77" t="str">
        <f t="shared" si="515"/>
        <v xml:space="preserve">   </v>
      </c>
      <c r="AH236" s="87">
        <f>IF($A236&gt;'Debt Service'!AF$58, 0, SUM(AF236:AF$242)*AG236*AF$63/AF$64+SUM(AF237:AF$242)*(AF$64-AF$63)/AF$64*AG236)</f>
        <v>0</v>
      </c>
      <c r="AI236" s="35"/>
      <c r="AJ236" s="87">
        <f t="shared" si="516"/>
        <v>0</v>
      </c>
      <c r="AK236" s="77" t="str">
        <f t="shared" si="517"/>
        <v xml:space="preserve">   </v>
      </c>
      <c r="AL236" s="87">
        <f>IF($A236&gt;'Debt Service'!AJ$58, 0, SUM(AJ236:AJ$242)*AK236*AJ$63/AJ$64+SUM(AJ237:AJ$242)*(AJ$64-AJ$63)/AJ$64*AK236)</f>
        <v>0</v>
      </c>
      <c r="AM236" s="35"/>
      <c r="AN236" s="87"/>
      <c r="AO236" s="77" t="str">
        <f t="shared" si="518"/>
        <v xml:space="preserve">   </v>
      </c>
      <c r="AP236" s="87">
        <f>IF($A236&gt;'Debt Service'!AN$58, 0, SUM(AN236:AN$242)*AO236*AN$63/AN$64+SUM(AN237:AN$242)*(AN$64-AN$63)/AN$64*AO236)</f>
        <v>0</v>
      </c>
      <c r="AQ236" s="35"/>
      <c r="AR236" s="87">
        <f t="shared" si="519"/>
        <v>0</v>
      </c>
      <c r="AS236" s="77" t="str">
        <f t="shared" si="520"/>
        <v xml:space="preserve">   </v>
      </c>
      <c r="AT236" s="87">
        <f>IF($A236&gt;'Debt Service'!AR$58, 0, SUM(AR236:AR$242)*AS236*AR$63/AR$64+SUM(AR237:AR$242)*(AR$64-AR$63)/AR$64*AS236)</f>
        <v>0</v>
      </c>
      <c r="AV236" s="35">
        <f t="shared" si="521"/>
        <v>0</v>
      </c>
      <c r="AW236" s="35">
        <f t="shared" si="522"/>
        <v>0</v>
      </c>
      <c r="AX236" s="35"/>
      <c r="AY236" s="87">
        <f t="shared" si="523"/>
        <v>0</v>
      </c>
      <c r="AZ236" s="77" t="str">
        <f t="shared" si="524"/>
        <v xml:space="preserve">   </v>
      </c>
      <c r="BA236" s="87">
        <f>IF($A236&gt;'Debt Service'!AY$58, 0, SUM(AY236:AY$242)*AZ236*AY$63/AY$64+SUM(AY237:AY$242)*(AY$64-AY$63)/AY$64*AZ236)</f>
        <v>0</v>
      </c>
      <c r="BB236" s="61"/>
      <c r="BC236" s="87">
        <f t="shared" si="525"/>
        <v>0</v>
      </c>
      <c r="BD236" s="77" t="str">
        <f t="shared" si="526"/>
        <v xml:space="preserve">   </v>
      </c>
      <c r="BE236" s="87">
        <f>IF($A236&gt;'Debt Service'!BC$58, 0, SUM(BC236:BC$242)*BD236*BC$63/BC$64+SUM(BC237:BC$242)*(BC$64-BC$63)/BC$64*BD236)</f>
        <v>0</v>
      </c>
      <c r="BF236" s="61"/>
      <c r="BG236" s="87">
        <f t="shared" si="527"/>
        <v>0</v>
      </c>
      <c r="BH236" s="77" t="str">
        <f t="shared" si="528"/>
        <v xml:space="preserve">   </v>
      </c>
      <c r="BI236" s="87">
        <f>IF($A236&gt;'Debt Service'!BG$58, 0, SUM(BG236:BG$242)*BH236*BG$63/BG$64+SUM(BG237:BG$242)*(BG$64-BG$63)/BG$64*BH236)</f>
        <v>0</v>
      </c>
      <c r="BJ236" s="61"/>
      <c r="BK236" s="35">
        <f t="shared" si="563"/>
        <v>0</v>
      </c>
      <c r="BL236" s="35">
        <f t="shared" si="564"/>
        <v>0</v>
      </c>
      <c r="BM236" s="8"/>
      <c r="BN236" s="87">
        <f t="shared" si="529"/>
        <v>0</v>
      </c>
      <c r="BO236" s="77" t="str">
        <f t="shared" si="530"/>
        <v xml:space="preserve">   </v>
      </c>
      <c r="BP236" s="87">
        <f>IF($A236&gt;'Debt Service'!BN$58, 0, SUM(BN236:BN$242)*BO236*BN$63/BN$64+SUM(BN237:BN$242)*(BN$64-BN$63)/BN$64*BO236)</f>
        <v>0</v>
      </c>
      <c r="BQ236" s="77"/>
      <c r="BR236" s="87">
        <f t="shared" si="531"/>
        <v>0</v>
      </c>
      <c r="BS236" s="77">
        <f t="shared" si="532"/>
        <v>5.6799999999999996E-2</v>
      </c>
      <c r="BT236" s="87">
        <f>IF($A236&gt;'Debt Service'!BR$58, 0, SUM(BR236:BR$242)*BS236*BR$63/BR$64+SUM(BR237:BR$242)*(BR$64-BR$63)/BR$64*BS236)</f>
        <v>194710.39999999999</v>
      </c>
      <c r="BU236" s="87"/>
      <c r="BV236" s="35">
        <f t="shared" si="565"/>
        <v>0</v>
      </c>
      <c r="BW236" s="35">
        <f t="shared" si="566"/>
        <v>194710.39999999999</v>
      </c>
      <c r="BX236" s="87"/>
      <c r="BY236" s="87">
        <f t="shared" si="533"/>
        <v>0</v>
      </c>
      <c r="BZ236" s="77" t="str">
        <f t="shared" si="534"/>
        <v xml:space="preserve">   </v>
      </c>
      <c r="CA236" s="87">
        <f>IF($A236&gt;'Debt Service'!BY$58, 0, SUM(BY236:BY$242)*BZ236*BY$63/BY$64+SUM(BY237:BY$242)*(BY$64-BY$63)/BY$64*BZ236)</f>
        <v>0</v>
      </c>
      <c r="CB236" s="87"/>
      <c r="CC236" s="87">
        <f t="shared" si="535"/>
        <v>0</v>
      </c>
      <c r="CD236" s="77" t="str">
        <f t="shared" si="536"/>
        <v xml:space="preserve">   </v>
      </c>
      <c r="CE236" s="87">
        <f>IF(OR($A236&gt;'Debt Service'!CC$58,$A236&lt;CC$51), 0, SUM(CC236:CC$242)*CD236*CC$63/CC$64+SUM(CC237:CC$242)*(CC$64-CC$63)/CC$64*CD236)</f>
        <v>0</v>
      </c>
      <c r="CF236" s="87"/>
      <c r="CG236" s="87">
        <f t="shared" si="537"/>
        <v>0</v>
      </c>
      <c r="CH236" s="77">
        <f t="shared" si="538"/>
        <v>5.6799999999999996E-2</v>
      </c>
      <c r="CI236" s="87">
        <f>IF(OR($A236&gt;'Debt Service'!CG$58,$A236&lt;CG$51), 0, SUM(CG236:CG$242)*CH236*CG$63/CG$64+SUM(CG237:CG$242)*(CG$64-CG$63)/CG$64*CH236)</f>
        <v>180453.59999999998</v>
      </c>
      <c r="CJ236" s="87"/>
      <c r="CK236" s="87">
        <f t="shared" si="539"/>
        <v>0</v>
      </c>
      <c r="CL236" s="77">
        <f t="shared" si="540"/>
        <v>6.0999999999999999E-2</v>
      </c>
      <c r="CM236" s="87">
        <f>IF(OR($A236&gt;'Debt Service'!CK$58,$A236&lt;CK$51), 0, SUM(CK236:CK$242)*CL236*CK$63/CK$64+SUM(CK237:CK$242)*(CK$64-CK$63)/CK$64*CL236)</f>
        <v>198067</v>
      </c>
      <c r="CN236" s="87"/>
      <c r="CO236" s="162">
        <f t="shared" si="541"/>
        <v>0</v>
      </c>
      <c r="CP236" s="87">
        <f t="shared" si="542"/>
        <v>378520.6</v>
      </c>
      <c r="CQ236" s="87"/>
      <c r="CR236" s="87">
        <f t="shared" si="543"/>
        <v>0</v>
      </c>
      <c r="CS236" s="77" t="str">
        <f t="shared" si="544"/>
        <v xml:space="preserve">   </v>
      </c>
      <c r="CT236" s="87">
        <f>IF(OR($A236&gt;'Debt Service'!CR$58,$A236&lt;CR$51), 0, SUM(CR236:CR$242)*CS236*CR$63/CR$64+SUM(CR237:CR$242)*(CR$64-CR$63)/CR$64*CS236)</f>
        <v>0</v>
      </c>
      <c r="CU236" s="87"/>
      <c r="CV236" s="87">
        <f t="shared" si="545"/>
        <v>0</v>
      </c>
      <c r="CW236" s="77" t="str">
        <f t="shared" si="546"/>
        <v xml:space="preserve">   </v>
      </c>
      <c r="CX236" s="87">
        <f>IF(OR($A236&gt;'Debt Service'!CV$58,$A236&lt;CV$51), 0, SUM(CV236:CV$242)*CW236*CV$63/CV$64+SUM(CV237:CV$242)*(CV$64-CV$63)/CV$64*CW236)</f>
        <v>0</v>
      </c>
      <c r="CY236" s="87"/>
      <c r="CZ236" s="165">
        <f t="shared" si="547"/>
        <v>0</v>
      </c>
      <c r="DA236" s="165">
        <f t="shared" si="548"/>
        <v>0</v>
      </c>
      <c r="DB236" s="87"/>
      <c r="DC236" s="87">
        <f t="shared" si="549"/>
        <v>0</v>
      </c>
      <c r="DD236" s="77" t="str">
        <f t="shared" si="550"/>
        <v xml:space="preserve">   </v>
      </c>
      <c r="DE236" s="87">
        <f>IF(OR($A236&gt;DC$191, $A236&lt;DC$51), 0, SUM(DC236:DC$242)*DD236*DC$63/DC$64+SUM(DC237:DC$242)*(DC$64-DC$63)/DC$64*DD236)</f>
        <v>0</v>
      </c>
      <c r="DF236" s="87"/>
      <c r="DG236" s="87">
        <f t="shared" si="551"/>
        <v>0</v>
      </c>
      <c r="DH236" s="77" t="str">
        <f t="shared" si="552"/>
        <v xml:space="preserve">   </v>
      </c>
      <c r="DI236" s="87">
        <f>IF(OR($A236&gt;DG$58, $A236&lt;DG$51), 0, SUM(DG236:DG$242)*DH236*DG$63/DG$64+SUM(DG237:DG$242)*(DG$64-DG$63)/DG$64*DH236)</f>
        <v>0</v>
      </c>
      <c r="DJ236" s="87"/>
      <c r="DK236" s="87">
        <f t="shared" si="553"/>
        <v>0</v>
      </c>
      <c r="DL236" s="77" t="str">
        <f t="shared" si="554"/>
        <v xml:space="preserve">   </v>
      </c>
      <c r="DM236" s="87">
        <f>IF(OR($A236&gt;DK$58, $A236&lt;DK$51), 0, SUM(DK236:DK$242)*DL236*DK$63/DK$64+SUM(DK237:DK$242)*(DK$64-DK$63)/DK$64*DL236)</f>
        <v>0</v>
      </c>
      <c r="DN236" s="87"/>
      <c r="DO236" s="87">
        <f t="shared" si="555"/>
        <v>0</v>
      </c>
      <c r="DP236" s="77" t="str">
        <f t="shared" si="556"/>
        <v xml:space="preserve">   </v>
      </c>
      <c r="DQ236" s="87">
        <f>IF(OR($A236&gt;DO$58, $A236&lt;DO$51), 0, SUM(DO236:DO$242)*DP236*DO$63/DO$64+SUM(DO237:DO$242)*(DO$64-DO$63)/DO$64*DP236)</f>
        <v>0</v>
      </c>
      <c r="DR236" s="87"/>
      <c r="DS236" s="87">
        <f t="shared" si="557"/>
        <v>0</v>
      </c>
      <c r="DT236" s="77" t="str">
        <f t="shared" si="558"/>
        <v xml:space="preserve">   </v>
      </c>
      <c r="DU236" s="87">
        <f>IF(OR($A236&gt;DS$58, $A236&lt;DS$51), 0, SUM(DS236:DS$242)*DT236*DS$63/DS$64+SUM(DS237:DS$242)*(DS$64-DS$63)/DS$64*DT236)</f>
        <v>0</v>
      </c>
      <c r="DV236" s="87"/>
      <c r="DW236" s="165">
        <f t="shared" si="571"/>
        <v>0</v>
      </c>
      <c r="DX236" s="165">
        <f t="shared" si="568"/>
        <v>573231</v>
      </c>
      <c r="DY236" s="87"/>
      <c r="DZ236" s="53">
        <f t="shared" si="559"/>
        <v>2054</v>
      </c>
      <c r="EA236" s="35">
        <f t="shared" si="560"/>
        <v>0</v>
      </c>
      <c r="EB236" s="35">
        <f t="shared" si="561"/>
        <v>573231</v>
      </c>
      <c r="EC236" s="35">
        <f t="shared" si="570"/>
        <v>9852000</v>
      </c>
      <c r="ED236" s="143">
        <f t="shared" si="569"/>
        <v>31</v>
      </c>
      <c r="EE236"/>
    </row>
    <row r="237" spans="1:135" s="33" customFormat="1" outlineLevel="1">
      <c r="A237" s="7">
        <f t="shared" si="562"/>
        <v>2055</v>
      </c>
      <c r="B237" s="151">
        <f>Assumptions!B39</f>
        <v>5.3800000000000001E-2</v>
      </c>
      <c r="C237" s="151">
        <f>Assumptions!C39</f>
        <v>5.3800000000000001E-2</v>
      </c>
      <c r="D237" s="151">
        <f>Assumptions!D39</f>
        <v>3.5000000000000003E-2</v>
      </c>
      <c r="E237" s="151">
        <f>Assumptions!E39</f>
        <v>5.2999999999999999E-2</v>
      </c>
      <c r="F237" s="8"/>
      <c r="G237" s="8"/>
      <c r="H237" s="8"/>
      <c r="I237" s="8"/>
      <c r="J237" s="8"/>
      <c r="K237" s="8"/>
      <c r="L237" s="8"/>
      <c r="M237" s="87">
        <f t="shared" si="504"/>
        <v>0</v>
      </c>
      <c r="N237" s="77" t="str">
        <f t="shared" si="505"/>
        <v xml:space="preserve">   </v>
      </c>
      <c r="O237" s="87">
        <f>IF($A237&gt;'Debt Service'!M$58, 0, SUM(M237:M$242)*N237*M$63/M$64+SUM(M238:M$242)*(M$64-M$63)/M$64*N237)</f>
        <v>0</v>
      </c>
      <c r="P237" s="35"/>
      <c r="Q237" s="87">
        <f t="shared" si="506"/>
        <v>0</v>
      </c>
      <c r="R237" s="77" t="str">
        <f t="shared" si="507"/>
        <v xml:space="preserve">   </v>
      </c>
      <c r="S237" s="87">
        <f>IF($A237&gt;'Debt Service'!Q$58, 0, SUM(Q237:Q$242)*R237*Q$63/Q$64+SUM(Q238:Q$242)*(Q$64-Q$63)/Q$64*R237)</f>
        <v>0</v>
      </c>
      <c r="T237" s="35"/>
      <c r="U237" s="35">
        <f t="shared" si="508"/>
        <v>0</v>
      </c>
      <c r="V237" s="35">
        <f t="shared" si="509"/>
        <v>0</v>
      </c>
      <c r="W237" s="35"/>
      <c r="X237" s="87">
        <f t="shared" si="510"/>
        <v>0</v>
      </c>
      <c r="Y237" s="77" t="str">
        <f t="shared" si="511"/>
        <v xml:space="preserve">   </v>
      </c>
      <c r="Z237" s="87">
        <f>IF($A237&gt;'Debt Service'!X$58, 0, SUM(X237:X$242)*Y237*X$63/X$64+SUM(X238:X$242)*(X$64-X$63)/X$64*Y237)</f>
        <v>0</v>
      </c>
      <c r="AA237" s="87"/>
      <c r="AB237" s="87">
        <f t="shared" si="512"/>
        <v>0</v>
      </c>
      <c r="AC237" s="77" t="str">
        <f t="shared" si="513"/>
        <v xml:space="preserve">   </v>
      </c>
      <c r="AD237" s="87">
        <f>IF($A237&gt;'Debt Service'!AB$58, 0, SUM(AB237:AB$242)*AC237*AB$63/AB$64+SUM(AB238:AB$242)*(AB$64-AB$63)/AB$64*AC237)</f>
        <v>0</v>
      </c>
      <c r="AE237" s="35"/>
      <c r="AF237" s="87">
        <f t="shared" si="514"/>
        <v>0</v>
      </c>
      <c r="AG237" s="77" t="str">
        <f t="shared" si="515"/>
        <v xml:space="preserve">   </v>
      </c>
      <c r="AH237" s="87">
        <f>IF($A237&gt;'Debt Service'!AF$58, 0, SUM(AF237:AF$242)*AG237*AF$63/AF$64+SUM(AF238:AF$242)*(AF$64-AF$63)/AF$64*AG237)</f>
        <v>0</v>
      </c>
      <c r="AI237" s="35"/>
      <c r="AJ237" s="87">
        <f t="shared" si="516"/>
        <v>0</v>
      </c>
      <c r="AK237" s="77" t="str">
        <f t="shared" si="517"/>
        <v xml:space="preserve">   </v>
      </c>
      <c r="AL237" s="87">
        <f>IF($A237&gt;'Debt Service'!AJ$58, 0, SUM(AJ237:AJ$242)*AK237*AJ$63/AJ$64+SUM(AJ238:AJ$242)*(AJ$64-AJ$63)/AJ$64*AK237)</f>
        <v>0</v>
      </c>
      <c r="AM237" s="35"/>
      <c r="AN237" s="87"/>
      <c r="AO237" s="77" t="str">
        <f t="shared" si="518"/>
        <v xml:space="preserve">   </v>
      </c>
      <c r="AP237" s="87">
        <f>IF($A237&gt;'Debt Service'!AN$58, 0, SUM(AN237:AN$242)*AO237*AN$63/AN$64+SUM(AN238:AN$242)*(AN$64-AN$63)/AN$64*AO237)</f>
        <v>0</v>
      </c>
      <c r="AQ237" s="35"/>
      <c r="AR237" s="87">
        <f t="shared" si="519"/>
        <v>0</v>
      </c>
      <c r="AS237" s="77" t="str">
        <f t="shared" si="520"/>
        <v xml:space="preserve">   </v>
      </c>
      <c r="AT237" s="87">
        <f>IF($A237&gt;'Debt Service'!AR$58, 0, SUM(AR237:AR$242)*AS237*AR$63/AR$64+SUM(AR238:AR$242)*(AR$64-AR$63)/AR$64*AS237)</f>
        <v>0</v>
      </c>
      <c r="AV237" s="35">
        <f t="shared" si="521"/>
        <v>0</v>
      </c>
      <c r="AW237" s="35">
        <f t="shared" si="522"/>
        <v>0</v>
      </c>
      <c r="AX237" s="35"/>
      <c r="AY237" s="87">
        <f t="shared" si="523"/>
        <v>0</v>
      </c>
      <c r="AZ237" s="77" t="str">
        <f t="shared" si="524"/>
        <v xml:space="preserve">   </v>
      </c>
      <c r="BA237" s="87">
        <f>IF($A237&gt;'Debt Service'!AY$58, 0, SUM(AY237:AY$242)*AZ237*AY$63/AY$64+SUM(AY238:AY$242)*(AY$64-AY$63)/AY$64*AZ237)</f>
        <v>0</v>
      </c>
      <c r="BB237" s="61"/>
      <c r="BC237" s="87">
        <f t="shared" si="525"/>
        <v>0</v>
      </c>
      <c r="BD237" s="77" t="str">
        <f t="shared" si="526"/>
        <v xml:space="preserve">   </v>
      </c>
      <c r="BE237" s="87">
        <f>IF($A237&gt;'Debt Service'!BC$58, 0, SUM(BC237:BC$242)*BD237*BC$63/BC$64+SUM(BC238:BC$242)*(BC$64-BC$63)/BC$64*BD237)</f>
        <v>0</v>
      </c>
      <c r="BF237" s="61"/>
      <c r="BG237" s="87">
        <f t="shared" si="527"/>
        <v>0</v>
      </c>
      <c r="BH237" s="77" t="str">
        <f t="shared" si="528"/>
        <v xml:space="preserve">   </v>
      </c>
      <c r="BI237" s="87">
        <f>IF($A237&gt;'Debt Service'!BG$58, 0, SUM(BG237:BG$242)*BH237*BG$63/BG$64+SUM(BG238:BG$242)*(BG$64-BG$63)/BG$64*BH237)</f>
        <v>0</v>
      </c>
      <c r="BJ237" s="61"/>
      <c r="BK237" s="35">
        <f t="shared" si="563"/>
        <v>0</v>
      </c>
      <c r="BL237" s="35">
        <f t="shared" si="564"/>
        <v>0</v>
      </c>
      <c r="BM237" s="8"/>
      <c r="BN237" s="87">
        <f t="shared" si="529"/>
        <v>0</v>
      </c>
      <c r="BO237" s="77" t="str">
        <f t="shared" si="530"/>
        <v xml:space="preserve">   </v>
      </c>
      <c r="BP237" s="87">
        <f>IF($A237&gt;'Debt Service'!BN$58, 0, SUM(BN237:BN$242)*BO237*BN$63/BN$64+SUM(BN238:BN$242)*(BN$64-BN$63)/BN$64*BO237)</f>
        <v>0</v>
      </c>
      <c r="BQ237" s="77"/>
      <c r="BR237" s="87">
        <f t="shared" si="531"/>
        <v>3428000</v>
      </c>
      <c r="BS237" s="77">
        <f t="shared" si="532"/>
        <v>5.6799999999999996E-2</v>
      </c>
      <c r="BT237" s="87">
        <f>IF($A237&gt;'Debt Service'!BR$58, 0, SUM(BR237:BR$242)*BS237*BR$63/BR$64+SUM(BR238:BR$242)*(BR$64-BR$63)/BR$64*BS237)</f>
        <v>178484.53333333333</v>
      </c>
      <c r="BU237" s="87"/>
      <c r="BV237" s="35">
        <f t="shared" si="565"/>
        <v>3428000</v>
      </c>
      <c r="BW237" s="35">
        <f t="shared" si="566"/>
        <v>178484.53333333333</v>
      </c>
      <c r="BX237" s="87"/>
      <c r="BY237" s="87">
        <f t="shared" si="533"/>
        <v>0</v>
      </c>
      <c r="BZ237" s="77" t="str">
        <f t="shared" si="534"/>
        <v xml:space="preserve">   </v>
      </c>
      <c r="CA237" s="87">
        <f>IF($A237&gt;'Debt Service'!BY$58, 0, SUM(BY237:BY$242)*BZ237*BY$63/BY$64+SUM(BY238:BY$242)*(BY$64-BY$63)/BY$64*BZ237)</f>
        <v>0</v>
      </c>
      <c r="CB237" s="87"/>
      <c r="CC237" s="87">
        <f t="shared" si="535"/>
        <v>0</v>
      </c>
      <c r="CD237" s="77" t="str">
        <f t="shared" si="536"/>
        <v xml:space="preserve">   </v>
      </c>
      <c r="CE237" s="87">
        <f>IF(OR($A237&gt;'Debt Service'!CC$58,$A237&lt;CC$51), 0, SUM(CC237:CC$242)*CD237*CC$63/CC$64+SUM(CC238:CC$242)*(CC$64-CC$63)/CC$64*CD237)</f>
        <v>0</v>
      </c>
      <c r="CF237" s="87"/>
      <c r="CG237" s="87">
        <f t="shared" si="537"/>
        <v>0</v>
      </c>
      <c r="CH237" s="77">
        <f t="shared" si="538"/>
        <v>5.6799999999999996E-2</v>
      </c>
      <c r="CI237" s="87">
        <f>IF(OR($A237&gt;'Debt Service'!CG$58,$A237&lt;CG$51), 0, SUM(CG237:CG$242)*CH237*CG$63/CG$64+SUM(CG238:CG$242)*(CG$64-CG$63)/CG$64*CH237)</f>
        <v>180453.59999999998</v>
      </c>
      <c r="CJ237" s="87"/>
      <c r="CK237" s="87">
        <f t="shared" si="539"/>
        <v>0</v>
      </c>
      <c r="CL237" s="77">
        <f t="shared" si="540"/>
        <v>6.0999999999999999E-2</v>
      </c>
      <c r="CM237" s="87">
        <f>IF(OR($A237&gt;'Debt Service'!CK$58,$A237&lt;CK$51), 0, SUM(CK237:CK$242)*CL237*CK$63/CK$64+SUM(CK238:CK$242)*(CK$64-CK$63)/CK$64*CL237)</f>
        <v>198067</v>
      </c>
      <c r="CN237" s="87"/>
      <c r="CO237" s="162">
        <f t="shared" si="541"/>
        <v>0</v>
      </c>
      <c r="CP237" s="87">
        <f t="shared" si="542"/>
        <v>378520.6</v>
      </c>
      <c r="CQ237" s="87"/>
      <c r="CR237" s="87">
        <f t="shared" si="543"/>
        <v>0</v>
      </c>
      <c r="CS237" s="77" t="str">
        <f t="shared" si="544"/>
        <v xml:space="preserve">   </v>
      </c>
      <c r="CT237" s="87">
        <f>IF(OR($A237&gt;'Debt Service'!CR$58,$A237&lt;CR$51), 0, SUM(CR237:CR$242)*CS237*CR$63/CR$64+SUM(CR238:CR$242)*(CR$64-CR$63)/CR$64*CS237)</f>
        <v>0</v>
      </c>
      <c r="CU237" s="87"/>
      <c r="CV237" s="87">
        <f t="shared" si="545"/>
        <v>0</v>
      </c>
      <c r="CW237" s="77" t="str">
        <f t="shared" si="546"/>
        <v xml:space="preserve">   </v>
      </c>
      <c r="CX237" s="87">
        <f>IF(OR($A237&gt;'Debt Service'!CV$58,$A237&lt;CV$51), 0, SUM(CV237:CV$242)*CW237*CV$63/CV$64+SUM(CV238:CV$242)*(CV$64-CV$63)/CV$64*CW237)</f>
        <v>0</v>
      </c>
      <c r="CY237" s="87"/>
      <c r="CZ237" s="165">
        <f t="shared" si="547"/>
        <v>0</v>
      </c>
      <c r="DA237" s="165">
        <f t="shared" si="548"/>
        <v>0</v>
      </c>
      <c r="DB237" s="87"/>
      <c r="DC237" s="87">
        <f t="shared" si="549"/>
        <v>0</v>
      </c>
      <c r="DD237" s="77" t="str">
        <f t="shared" si="550"/>
        <v xml:space="preserve">   </v>
      </c>
      <c r="DE237" s="87">
        <f>IF(OR($A237&gt;DC$191, $A237&lt;DC$51), 0, SUM(DC237:DC$242)*DD237*DC$63/DC$64+SUM(DC238:DC$242)*(DC$64-DC$63)/DC$64*DD237)</f>
        <v>0</v>
      </c>
      <c r="DF237" s="87"/>
      <c r="DG237" s="87">
        <f t="shared" si="551"/>
        <v>0</v>
      </c>
      <c r="DH237" s="77" t="str">
        <f t="shared" si="552"/>
        <v xml:space="preserve">   </v>
      </c>
      <c r="DI237" s="87">
        <f>IF(OR($A237&gt;DG$58, $A237&lt;DG$51), 0, SUM(DG237:DG$242)*DH237*DG$63/DG$64+SUM(DG238:DG$242)*(DG$64-DG$63)/DG$64*DH237)</f>
        <v>0</v>
      </c>
      <c r="DJ237" s="87"/>
      <c r="DK237" s="87">
        <f t="shared" si="553"/>
        <v>0</v>
      </c>
      <c r="DL237" s="77" t="str">
        <f t="shared" si="554"/>
        <v xml:space="preserve">   </v>
      </c>
      <c r="DM237" s="87">
        <f>IF(OR($A237&gt;DK$58, $A237&lt;DK$51), 0, SUM(DK237:DK$242)*DL237*DK$63/DK$64+SUM(DK238:DK$242)*(DK$64-DK$63)/DK$64*DL237)</f>
        <v>0</v>
      </c>
      <c r="DN237" s="87"/>
      <c r="DO237" s="87">
        <f t="shared" si="555"/>
        <v>0</v>
      </c>
      <c r="DP237" s="77" t="str">
        <f t="shared" si="556"/>
        <v xml:space="preserve">   </v>
      </c>
      <c r="DQ237" s="87">
        <f>IF(OR($A237&gt;DO$58, $A237&lt;DO$51), 0, SUM(DO237:DO$242)*DP237*DO$63/DO$64+SUM(DO238:DO$242)*(DO$64-DO$63)/DO$64*DP237)</f>
        <v>0</v>
      </c>
      <c r="DR237" s="87"/>
      <c r="DS237" s="87">
        <f t="shared" si="557"/>
        <v>0</v>
      </c>
      <c r="DT237" s="77" t="str">
        <f t="shared" si="558"/>
        <v xml:space="preserve">   </v>
      </c>
      <c r="DU237" s="87">
        <f>IF(OR($A237&gt;DS$58, $A237&lt;DS$51), 0, SUM(DS237:DS$242)*DT237*DS$63/DS$64+SUM(DS238:DS$242)*(DS$64-DS$63)/DS$64*DT237)</f>
        <v>0</v>
      </c>
      <c r="DV237" s="87"/>
      <c r="DW237" s="165">
        <f t="shared" si="571"/>
        <v>3428000</v>
      </c>
      <c r="DX237" s="165">
        <f t="shared" si="568"/>
        <v>557005.1333333333</v>
      </c>
      <c r="DY237" s="87"/>
      <c r="DZ237" s="53">
        <f t="shared" si="559"/>
        <v>2055</v>
      </c>
      <c r="EA237" s="35">
        <f t="shared" si="560"/>
        <v>3428000</v>
      </c>
      <c r="EB237" s="35">
        <f t="shared" si="561"/>
        <v>557005.1333333333</v>
      </c>
      <c r="EC237" s="35">
        <f t="shared" si="570"/>
        <v>6424000</v>
      </c>
      <c r="ED237" s="143">
        <f t="shared" si="569"/>
        <v>32</v>
      </c>
      <c r="EE237"/>
    </row>
    <row r="238" spans="1:135" s="33" customFormat="1" outlineLevel="1">
      <c r="A238" s="7">
        <f t="shared" si="562"/>
        <v>2056</v>
      </c>
      <c r="B238" s="151">
        <f>Assumptions!B40</f>
        <v>5.3800000000000001E-2</v>
      </c>
      <c r="C238" s="151">
        <f>Assumptions!C40</f>
        <v>5.3800000000000001E-2</v>
      </c>
      <c r="D238" s="151">
        <f>Assumptions!D40</f>
        <v>3.5000000000000003E-2</v>
      </c>
      <c r="E238" s="151">
        <f>Assumptions!E40</f>
        <v>5.2999999999999999E-2</v>
      </c>
      <c r="F238" s="8"/>
      <c r="G238" s="8"/>
      <c r="H238" s="8"/>
      <c r="I238" s="8"/>
      <c r="J238" s="8"/>
      <c r="K238" s="8"/>
      <c r="L238" s="8"/>
      <c r="M238" s="87">
        <f t="shared" si="504"/>
        <v>0</v>
      </c>
      <c r="N238" s="77" t="str">
        <f t="shared" si="505"/>
        <v xml:space="preserve">   </v>
      </c>
      <c r="O238" s="87">
        <f>IF($A238&gt;'Debt Service'!M$58, 0, SUM(M238:M$242)*N238*M$63/M$64+SUM(M239:M$242)*(M$64-M$63)/M$64*N238)</f>
        <v>0</v>
      </c>
      <c r="P238" s="35"/>
      <c r="Q238" s="87">
        <f t="shared" si="506"/>
        <v>0</v>
      </c>
      <c r="R238" s="77" t="str">
        <f t="shared" si="507"/>
        <v xml:space="preserve">   </v>
      </c>
      <c r="S238" s="87">
        <f>IF($A238&gt;'Debt Service'!Q$58, 0, SUM(Q238:Q$242)*R238*Q$63/Q$64+SUM(Q239:Q$242)*(Q$64-Q$63)/Q$64*R238)</f>
        <v>0</v>
      </c>
      <c r="T238" s="35"/>
      <c r="U238" s="35">
        <f t="shared" si="508"/>
        <v>0</v>
      </c>
      <c r="V238" s="35">
        <f t="shared" si="509"/>
        <v>0</v>
      </c>
      <c r="W238" s="35"/>
      <c r="X238" s="87">
        <f t="shared" si="510"/>
        <v>0</v>
      </c>
      <c r="Y238" s="77" t="str">
        <f t="shared" si="511"/>
        <v xml:space="preserve">   </v>
      </c>
      <c r="Z238" s="87">
        <f>IF($A238&gt;'Debt Service'!X$58, 0, SUM(X238:X$242)*Y238*X$63/X$64+SUM(X239:X$242)*(X$64-X$63)/X$64*Y238)</f>
        <v>0</v>
      </c>
      <c r="AA238" s="87"/>
      <c r="AB238" s="87">
        <f t="shared" si="512"/>
        <v>0</v>
      </c>
      <c r="AC238" s="77" t="str">
        <f t="shared" si="513"/>
        <v xml:space="preserve">   </v>
      </c>
      <c r="AD238" s="87">
        <f>IF($A238&gt;'Debt Service'!AB$58, 0, SUM(AB238:AB$242)*AC238*AB$63/AB$64+SUM(AB239:AB$242)*(AB$64-AB$63)/AB$64*AC238)</f>
        <v>0</v>
      </c>
      <c r="AE238" s="35"/>
      <c r="AF238" s="87">
        <f t="shared" si="514"/>
        <v>0</v>
      </c>
      <c r="AG238" s="77" t="str">
        <f t="shared" si="515"/>
        <v xml:space="preserve">   </v>
      </c>
      <c r="AH238" s="87">
        <f>IF($A238&gt;'Debt Service'!AF$58, 0, SUM(AF238:AF$242)*AG238*AF$63/AF$64+SUM(AF239:AF$242)*(AF$64-AF$63)/AF$64*AG238)</f>
        <v>0</v>
      </c>
      <c r="AI238" s="35"/>
      <c r="AJ238" s="87">
        <f t="shared" si="516"/>
        <v>0</v>
      </c>
      <c r="AK238" s="77" t="str">
        <f t="shared" si="517"/>
        <v xml:space="preserve">   </v>
      </c>
      <c r="AL238" s="87">
        <f>IF($A238&gt;'Debt Service'!AJ$58, 0, SUM(AJ238:AJ$242)*AK238*AJ$63/AJ$64+SUM(AJ239:AJ$242)*(AJ$64-AJ$63)/AJ$64*AK238)</f>
        <v>0</v>
      </c>
      <c r="AM238" s="35"/>
      <c r="AN238" s="87"/>
      <c r="AO238" s="77" t="str">
        <f t="shared" si="518"/>
        <v xml:space="preserve">   </v>
      </c>
      <c r="AP238" s="87">
        <f>IF($A238&gt;'Debt Service'!AN$58, 0, SUM(AN238:AN$242)*AO238*AN$63/AN$64+SUM(AN239:AN$242)*(AN$64-AN$63)/AN$64*AO238)</f>
        <v>0</v>
      </c>
      <c r="AQ238" s="35"/>
      <c r="AR238" s="87">
        <f t="shared" si="519"/>
        <v>0</v>
      </c>
      <c r="AS238" s="77" t="str">
        <f t="shared" si="520"/>
        <v xml:space="preserve">   </v>
      </c>
      <c r="AT238" s="87">
        <f>IF($A238&gt;'Debt Service'!AR$58, 0, SUM(AR238:AR$242)*AS238*AR$63/AR$64+SUM(AR239:AR$242)*(AR$64-AR$63)/AR$64*AS238)</f>
        <v>0</v>
      </c>
      <c r="AV238" s="35">
        <f t="shared" si="521"/>
        <v>0</v>
      </c>
      <c r="AW238" s="35">
        <f t="shared" si="522"/>
        <v>0</v>
      </c>
      <c r="AX238" s="35"/>
      <c r="AY238" s="87">
        <f t="shared" si="523"/>
        <v>0</v>
      </c>
      <c r="AZ238" s="77" t="str">
        <f t="shared" si="524"/>
        <v xml:space="preserve">   </v>
      </c>
      <c r="BA238" s="87">
        <f>IF($A238&gt;'Debt Service'!AY$58, 0, SUM(AY238:AY$242)*AZ238*AY$63/AY$64+SUM(AY239:AY$242)*(AY$64-AY$63)/AY$64*AZ238)</f>
        <v>0</v>
      </c>
      <c r="BB238" s="61"/>
      <c r="BC238" s="87">
        <f t="shared" si="525"/>
        <v>0</v>
      </c>
      <c r="BD238" s="77" t="str">
        <f t="shared" si="526"/>
        <v xml:space="preserve">   </v>
      </c>
      <c r="BE238" s="87">
        <f>IF($A238&gt;'Debt Service'!BC$58, 0, SUM(BC238:BC$242)*BD238*BC$63/BC$64+SUM(BC239:BC$242)*(BC$64-BC$63)/BC$64*BD238)</f>
        <v>0</v>
      </c>
      <c r="BF238" s="61"/>
      <c r="BG238" s="87">
        <f t="shared" si="527"/>
        <v>0</v>
      </c>
      <c r="BH238" s="77" t="str">
        <f t="shared" si="528"/>
        <v xml:space="preserve">   </v>
      </c>
      <c r="BI238" s="87">
        <f>IF($A238&gt;'Debt Service'!BG$58, 0, SUM(BG238:BG$242)*BH238*BG$63/BG$64+SUM(BG239:BG$242)*(BG$64-BG$63)/BG$64*BH238)</f>
        <v>0</v>
      </c>
      <c r="BJ238" s="61"/>
      <c r="BK238" s="35">
        <f t="shared" si="563"/>
        <v>0</v>
      </c>
      <c r="BL238" s="35">
        <f t="shared" si="564"/>
        <v>0</v>
      </c>
      <c r="BM238" s="8"/>
      <c r="BN238" s="87">
        <f t="shared" si="529"/>
        <v>0</v>
      </c>
      <c r="BO238" s="77" t="str">
        <f t="shared" si="530"/>
        <v xml:space="preserve">   </v>
      </c>
      <c r="BP238" s="87">
        <f>IF($A238&gt;'Debt Service'!BN$58, 0, SUM(BN238:BN$242)*BO238*BN$63/BN$64+SUM(BN239:BN$242)*(BN$64-BN$63)/BN$64*BO238)</f>
        <v>0</v>
      </c>
      <c r="BQ238" s="77"/>
      <c r="BR238" s="87">
        <f t="shared" si="531"/>
        <v>0</v>
      </c>
      <c r="BS238" s="77" t="str">
        <f t="shared" si="532"/>
        <v xml:space="preserve">   </v>
      </c>
      <c r="BT238" s="87">
        <f>IF($A238&gt;'Debt Service'!BR$58, 0, SUM(BR238:BR$242)*BS238*BR$63/BR$64+SUM(BR239:BR$242)*(BR$64-BR$63)/BR$64*BS238)</f>
        <v>0</v>
      </c>
      <c r="BU238" s="87"/>
      <c r="BV238" s="35">
        <f t="shared" si="565"/>
        <v>0</v>
      </c>
      <c r="BW238" s="35">
        <f t="shared" si="566"/>
        <v>0</v>
      </c>
      <c r="BX238" s="87"/>
      <c r="BY238" s="87">
        <f t="shared" si="533"/>
        <v>0</v>
      </c>
      <c r="BZ238" s="77" t="str">
        <f t="shared" si="534"/>
        <v xml:space="preserve">   </v>
      </c>
      <c r="CA238" s="87">
        <f>IF($A238&gt;'Debt Service'!BY$58, 0, SUM(BY238:BY$242)*BZ238*BY$63/BY$64+SUM(BY239:BY$242)*(BY$64-BY$63)/BY$64*BZ238)</f>
        <v>0</v>
      </c>
      <c r="CB238" s="87"/>
      <c r="CC238" s="87">
        <f t="shared" si="535"/>
        <v>0</v>
      </c>
      <c r="CD238" s="77" t="str">
        <f t="shared" si="536"/>
        <v xml:space="preserve">   </v>
      </c>
      <c r="CE238" s="87">
        <f>IF(OR($A238&gt;'Debt Service'!CC$58,$A238&lt;CC$51), 0, SUM(CC238:CC$242)*CD238*CC$63/CC$64+SUM(CC239:CC$242)*(CC$64-CC$63)/CC$64*CD238)</f>
        <v>0</v>
      </c>
      <c r="CF238" s="87"/>
      <c r="CG238" s="87">
        <f t="shared" si="537"/>
        <v>0</v>
      </c>
      <c r="CH238" s="77">
        <f t="shared" si="538"/>
        <v>5.6799999999999996E-2</v>
      </c>
      <c r="CI238" s="87">
        <f>IF(OR($A238&gt;'Debt Service'!CG$58,$A238&lt;CG$51), 0, SUM(CG238:CG$242)*CH238*CG$63/CG$64+SUM(CG239:CG$242)*(CG$64-CG$63)/CG$64*CH238)</f>
        <v>180453.59999999998</v>
      </c>
      <c r="CJ238" s="87"/>
      <c r="CK238" s="87">
        <f t="shared" si="539"/>
        <v>0</v>
      </c>
      <c r="CL238" s="77">
        <f t="shared" si="540"/>
        <v>6.0999999999999999E-2</v>
      </c>
      <c r="CM238" s="87">
        <f>IF(OR($A238&gt;'Debt Service'!CK$58,$A238&lt;CK$51), 0, SUM(CK238:CK$242)*CL238*CK$63/CK$64+SUM(CK239:CK$242)*(CK$64-CK$63)/CK$64*CL238)</f>
        <v>198067</v>
      </c>
      <c r="CN238" s="87"/>
      <c r="CO238" s="162">
        <f t="shared" si="541"/>
        <v>0</v>
      </c>
      <c r="CP238" s="87">
        <f t="shared" si="542"/>
        <v>378520.6</v>
      </c>
      <c r="CQ238" s="87"/>
      <c r="CR238" s="87">
        <f t="shared" si="543"/>
        <v>0</v>
      </c>
      <c r="CS238" s="77" t="str">
        <f t="shared" si="544"/>
        <v xml:space="preserve">   </v>
      </c>
      <c r="CT238" s="87">
        <f>IF(OR($A238&gt;'Debt Service'!CR$58,$A238&lt;CR$51), 0, SUM(CR238:CR$242)*CS238*CR$63/CR$64+SUM(CR239:CR$242)*(CR$64-CR$63)/CR$64*CS238)</f>
        <v>0</v>
      </c>
      <c r="CU238" s="87"/>
      <c r="CV238" s="87">
        <f t="shared" si="545"/>
        <v>0</v>
      </c>
      <c r="CW238" s="77" t="str">
        <f t="shared" si="546"/>
        <v xml:space="preserve">   </v>
      </c>
      <c r="CX238" s="87">
        <f>IF(OR($A238&gt;'Debt Service'!CV$58,$A238&lt;CV$51), 0, SUM(CV238:CV$242)*CW238*CV$63/CV$64+SUM(CV239:CV$242)*(CV$64-CV$63)/CV$64*CW238)</f>
        <v>0</v>
      </c>
      <c r="CY238" s="87"/>
      <c r="CZ238" s="165">
        <f t="shared" si="547"/>
        <v>0</v>
      </c>
      <c r="DA238" s="165">
        <f t="shared" si="548"/>
        <v>0</v>
      </c>
      <c r="DB238" s="87"/>
      <c r="DC238" s="87">
        <f t="shared" si="549"/>
        <v>0</v>
      </c>
      <c r="DD238" s="77" t="str">
        <f t="shared" si="550"/>
        <v xml:space="preserve">   </v>
      </c>
      <c r="DE238" s="87">
        <f>IF(OR($A238&gt;DC$191, $A238&lt;DC$51), 0, SUM(DC238:DC$242)*DD238*DC$63/DC$64+SUM(DC239:DC$242)*(DC$64-DC$63)/DC$64*DD238)</f>
        <v>0</v>
      </c>
      <c r="DF238" s="87"/>
      <c r="DG238" s="87">
        <f t="shared" si="551"/>
        <v>0</v>
      </c>
      <c r="DH238" s="77" t="str">
        <f t="shared" si="552"/>
        <v xml:space="preserve">   </v>
      </c>
      <c r="DI238" s="87">
        <f>IF(OR($A238&gt;DG$58, $A238&lt;DG$51), 0, SUM(DG238:DG$242)*DH238*DG$63/DG$64+SUM(DG239:DG$242)*(DG$64-DG$63)/DG$64*DH238)</f>
        <v>0</v>
      </c>
      <c r="DJ238" s="87"/>
      <c r="DK238" s="87">
        <f t="shared" si="553"/>
        <v>0</v>
      </c>
      <c r="DL238" s="77" t="str">
        <f t="shared" si="554"/>
        <v xml:space="preserve">   </v>
      </c>
      <c r="DM238" s="87">
        <f>IF(OR($A238&gt;DK$58, $A238&lt;DK$51), 0, SUM(DK238:DK$242)*DL238*DK$63/DK$64+SUM(DK239:DK$242)*(DK$64-DK$63)/DK$64*DL238)</f>
        <v>0</v>
      </c>
      <c r="DN238" s="87"/>
      <c r="DO238" s="87">
        <f t="shared" si="555"/>
        <v>0</v>
      </c>
      <c r="DP238" s="77" t="str">
        <f t="shared" si="556"/>
        <v xml:space="preserve">   </v>
      </c>
      <c r="DQ238" s="87">
        <f>IF(OR($A238&gt;DO$58, $A238&lt;DO$51), 0, SUM(DO238:DO$242)*DP238*DO$63/DO$64+SUM(DO239:DO$242)*(DO$64-DO$63)/DO$64*DP238)</f>
        <v>0</v>
      </c>
      <c r="DR238" s="87"/>
      <c r="DS238" s="87">
        <f t="shared" si="557"/>
        <v>0</v>
      </c>
      <c r="DT238" s="77" t="str">
        <f t="shared" si="558"/>
        <v xml:space="preserve">   </v>
      </c>
      <c r="DU238" s="87">
        <f>IF(OR($A238&gt;DS$58, $A238&lt;DS$51), 0, SUM(DS238:DS$242)*DT238*DS$63/DS$64+SUM(DS239:DS$242)*(DS$64-DS$63)/DS$64*DT238)</f>
        <v>0</v>
      </c>
      <c r="DV238" s="87"/>
      <c r="DW238" s="165">
        <f t="shared" si="571"/>
        <v>0</v>
      </c>
      <c r="DX238" s="165">
        <f t="shared" si="568"/>
        <v>378520.6</v>
      </c>
      <c r="DY238" s="87"/>
      <c r="DZ238" s="53">
        <f t="shared" si="559"/>
        <v>2056</v>
      </c>
      <c r="EA238" s="35">
        <f t="shared" si="560"/>
        <v>0</v>
      </c>
      <c r="EB238" s="35">
        <f t="shared" si="561"/>
        <v>378520.6</v>
      </c>
      <c r="EC238" s="35">
        <f t="shared" si="570"/>
        <v>6424000</v>
      </c>
      <c r="ED238" s="143">
        <f t="shared" si="569"/>
        <v>33</v>
      </c>
      <c r="EE238"/>
    </row>
    <row r="239" spans="1:135" s="33" customFormat="1" outlineLevel="1">
      <c r="A239" s="7">
        <f t="shared" si="562"/>
        <v>2057</v>
      </c>
      <c r="B239" s="151">
        <f>Assumptions!B41</f>
        <v>5.3800000000000001E-2</v>
      </c>
      <c r="C239" s="151">
        <f>Assumptions!C41</f>
        <v>5.3800000000000001E-2</v>
      </c>
      <c r="D239" s="151">
        <f>Assumptions!D41</f>
        <v>3.5000000000000003E-2</v>
      </c>
      <c r="E239" s="151">
        <f>Assumptions!E41</f>
        <v>5.2999999999999999E-2</v>
      </c>
      <c r="F239" s="8"/>
      <c r="G239" s="8"/>
      <c r="H239" s="8"/>
      <c r="I239" s="8"/>
      <c r="J239" s="8"/>
      <c r="K239" s="8"/>
      <c r="L239" s="8"/>
      <c r="M239" s="87">
        <f t="shared" si="504"/>
        <v>0</v>
      </c>
      <c r="N239" s="77" t="str">
        <f t="shared" si="505"/>
        <v xml:space="preserve">   </v>
      </c>
      <c r="O239" s="87">
        <f>IF($A239&gt;'Debt Service'!M$58, 0, SUM(M239:M$242)*N239*M$63/M$64+SUM(M240:M$242)*(M$64-M$63)/M$64*N239)</f>
        <v>0</v>
      </c>
      <c r="P239" s="35"/>
      <c r="Q239" s="87">
        <f t="shared" si="506"/>
        <v>0</v>
      </c>
      <c r="R239" s="77" t="str">
        <f t="shared" si="507"/>
        <v xml:space="preserve">   </v>
      </c>
      <c r="S239" s="87">
        <f>IF($A239&gt;'Debt Service'!Q$58, 0, SUM(Q239:Q$242)*R239*Q$63/Q$64+SUM(Q240:Q$242)*(Q$64-Q$63)/Q$64*R239)</f>
        <v>0</v>
      </c>
      <c r="T239" s="35"/>
      <c r="U239" s="35">
        <f t="shared" si="508"/>
        <v>0</v>
      </c>
      <c r="V239" s="35">
        <f t="shared" si="509"/>
        <v>0</v>
      </c>
      <c r="W239" s="35"/>
      <c r="X239" s="87">
        <f t="shared" si="510"/>
        <v>0</v>
      </c>
      <c r="Y239" s="77" t="str">
        <f t="shared" si="511"/>
        <v xml:space="preserve">   </v>
      </c>
      <c r="Z239" s="87">
        <f>IF($A239&gt;'Debt Service'!X$58, 0, SUM(X239:X$242)*Y239*X$63/X$64+SUM(X240:X$242)*(X$64-X$63)/X$64*Y239)</f>
        <v>0</v>
      </c>
      <c r="AA239" s="87"/>
      <c r="AB239" s="87">
        <f t="shared" si="512"/>
        <v>0</v>
      </c>
      <c r="AC239" s="77" t="str">
        <f t="shared" si="513"/>
        <v xml:space="preserve">   </v>
      </c>
      <c r="AD239" s="87">
        <f>IF($A239&gt;'Debt Service'!AB$58, 0, SUM(AB239:AB$242)*AC239*AB$63/AB$64+SUM(AB240:AB$242)*(AB$64-AB$63)/AB$64*AC239)</f>
        <v>0</v>
      </c>
      <c r="AE239" s="35"/>
      <c r="AF239" s="87">
        <f t="shared" si="514"/>
        <v>0</v>
      </c>
      <c r="AG239" s="77" t="str">
        <f t="shared" si="515"/>
        <v xml:space="preserve">   </v>
      </c>
      <c r="AH239" s="87">
        <f>IF($A239&gt;'Debt Service'!AF$58, 0, SUM(AF239:AF$242)*AG239*AF$63/AF$64+SUM(AF240:AF$242)*(AF$64-AF$63)/AF$64*AG239)</f>
        <v>0</v>
      </c>
      <c r="AI239" s="35"/>
      <c r="AJ239" s="87">
        <f t="shared" si="516"/>
        <v>0</v>
      </c>
      <c r="AK239" s="77" t="str">
        <f t="shared" si="517"/>
        <v xml:space="preserve">   </v>
      </c>
      <c r="AL239" s="87">
        <f>IF($A239&gt;'Debt Service'!AJ$58, 0, SUM(AJ239:AJ$242)*AK239*AJ$63/AJ$64+SUM(AJ240:AJ$242)*(AJ$64-AJ$63)/AJ$64*AK239)</f>
        <v>0</v>
      </c>
      <c r="AM239" s="35"/>
      <c r="AN239" s="87"/>
      <c r="AO239" s="77" t="str">
        <f t="shared" si="518"/>
        <v xml:space="preserve">   </v>
      </c>
      <c r="AP239" s="87">
        <f>IF($A239&gt;'Debt Service'!AN$58, 0, SUM(AN239:AN$242)*AO239*AN$63/AN$64+SUM(AN240:AN$242)*(AN$64-AN$63)/AN$64*AO239)</f>
        <v>0</v>
      </c>
      <c r="AQ239" s="35"/>
      <c r="AR239" s="87">
        <f t="shared" si="519"/>
        <v>0</v>
      </c>
      <c r="AS239" s="77" t="str">
        <f t="shared" si="520"/>
        <v xml:space="preserve">   </v>
      </c>
      <c r="AT239" s="87">
        <f>IF($A239&gt;'Debt Service'!AR$58, 0, SUM(AR239:AR$242)*AS239*AR$63/AR$64+SUM(AR240:AR$242)*(AR$64-AR$63)/AR$64*AS239)</f>
        <v>0</v>
      </c>
      <c r="AV239" s="35">
        <f t="shared" si="521"/>
        <v>0</v>
      </c>
      <c r="AW239" s="35">
        <f t="shared" si="522"/>
        <v>0</v>
      </c>
      <c r="AX239" s="35"/>
      <c r="AY239" s="87">
        <f t="shared" si="523"/>
        <v>0</v>
      </c>
      <c r="AZ239" s="77" t="str">
        <f t="shared" si="524"/>
        <v xml:space="preserve">   </v>
      </c>
      <c r="BA239" s="87">
        <f>IF($A239&gt;'Debt Service'!AY$58, 0, SUM(AY239:AY$242)*AZ239*AY$63/AY$64+SUM(AY240:AY$242)*(AY$64-AY$63)/AY$64*AZ239)</f>
        <v>0</v>
      </c>
      <c r="BB239" s="61"/>
      <c r="BC239" s="87">
        <f t="shared" si="525"/>
        <v>0</v>
      </c>
      <c r="BD239" s="77" t="str">
        <f t="shared" si="526"/>
        <v xml:space="preserve">   </v>
      </c>
      <c r="BE239" s="87">
        <f>IF($A239&gt;'Debt Service'!BC$58, 0, SUM(BC239:BC$242)*BD239*BC$63/BC$64+SUM(BC240:BC$242)*(BC$64-BC$63)/BC$64*BD239)</f>
        <v>0</v>
      </c>
      <c r="BF239" s="61"/>
      <c r="BG239" s="87">
        <f t="shared" si="527"/>
        <v>0</v>
      </c>
      <c r="BH239" s="77" t="str">
        <f t="shared" si="528"/>
        <v xml:space="preserve">   </v>
      </c>
      <c r="BI239" s="87">
        <f>IF($A239&gt;'Debt Service'!BG$58, 0, SUM(BG239:BG$242)*BH239*BG$63/BG$64+SUM(BG240:BG$242)*(BG$64-BG$63)/BG$64*BH239)</f>
        <v>0</v>
      </c>
      <c r="BJ239" s="61"/>
      <c r="BK239" s="35">
        <f t="shared" si="563"/>
        <v>0</v>
      </c>
      <c r="BL239" s="35">
        <f t="shared" si="564"/>
        <v>0</v>
      </c>
      <c r="BM239" s="8"/>
      <c r="BN239" s="87">
        <f t="shared" si="529"/>
        <v>0</v>
      </c>
      <c r="BO239" s="77" t="str">
        <f t="shared" si="530"/>
        <v xml:space="preserve">   </v>
      </c>
      <c r="BP239" s="87">
        <f>IF($A239&gt;'Debt Service'!BN$58, 0, SUM(BN239:BN$242)*BO239*BN$63/BN$64+SUM(BN240:BN$242)*(BN$64-BN$63)/BN$64*BO239)</f>
        <v>0</v>
      </c>
      <c r="BQ239" s="77"/>
      <c r="BR239" s="87">
        <f t="shared" si="531"/>
        <v>0</v>
      </c>
      <c r="BS239" s="77" t="str">
        <f t="shared" si="532"/>
        <v xml:space="preserve">   </v>
      </c>
      <c r="BT239" s="87">
        <f>IF($A239&gt;'Debt Service'!BR$58, 0, SUM(BR239:BR$242)*BS239*BR$63/BR$64+SUM(BR240:BR$242)*(BR$64-BR$63)/BR$64*BS239)</f>
        <v>0</v>
      </c>
      <c r="BU239" s="87"/>
      <c r="BV239" s="35">
        <f t="shared" si="565"/>
        <v>0</v>
      </c>
      <c r="BW239" s="35">
        <f t="shared" si="566"/>
        <v>0</v>
      </c>
      <c r="BX239" s="87"/>
      <c r="BY239" s="87">
        <f t="shared" si="533"/>
        <v>0</v>
      </c>
      <c r="BZ239" s="77" t="str">
        <f t="shared" si="534"/>
        <v xml:space="preserve">   </v>
      </c>
      <c r="CA239" s="87">
        <f>IF($A239&gt;'Debt Service'!BY$58, 0, SUM(BY239:BY$242)*BZ239*BY$63/BY$64+SUM(BY240:BY$242)*(BY$64-BY$63)/BY$64*BZ239)</f>
        <v>0</v>
      </c>
      <c r="CB239" s="87"/>
      <c r="CC239" s="87">
        <f t="shared" si="535"/>
        <v>0</v>
      </c>
      <c r="CD239" s="77" t="str">
        <f t="shared" si="536"/>
        <v xml:space="preserve">   </v>
      </c>
      <c r="CE239" s="87">
        <f>IF(OR($A239&gt;'Debt Service'!CC$58,$A239&lt;CC$51), 0, SUM(CC239:CC$242)*CD239*CC$63/CC$64+SUM(CC240:CC$242)*(CC$64-CC$63)/CC$64*CD239)</f>
        <v>0</v>
      </c>
      <c r="CF239" s="87"/>
      <c r="CG239" s="87">
        <f t="shared" si="537"/>
        <v>3177000</v>
      </c>
      <c r="CH239" s="77">
        <f t="shared" si="538"/>
        <v>5.6799999999999996E-2</v>
      </c>
      <c r="CI239" s="87">
        <f>IF(OR($A239&gt;'Debt Service'!CG$58,$A239&lt;CG$51), 0, SUM(CG239:CG$242)*CH239*CG$63/CG$64+SUM(CG240:CG$242)*(CG$64-CG$63)/CG$64*CH239)</f>
        <v>45113.399999999994</v>
      </c>
      <c r="CJ239" s="87"/>
      <c r="CK239" s="87">
        <f t="shared" si="539"/>
        <v>3247000</v>
      </c>
      <c r="CL239" s="77">
        <f t="shared" si="540"/>
        <v>6.0999999999999999E-2</v>
      </c>
      <c r="CM239" s="87">
        <f>IF(OR($A239&gt;'Debt Service'!CK$58,$A239&lt;CK$51), 0, SUM(CK239:CK$242)*CL239*CK$63/CK$64+SUM(CK240:CK$242)*(CK$64-CK$63)/CK$64*CL239)</f>
        <v>49516.75</v>
      </c>
      <c r="CN239" s="87"/>
      <c r="CO239" s="162">
        <f t="shared" si="541"/>
        <v>6424000</v>
      </c>
      <c r="CP239" s="87">
        <f t="shared" si="542"/>
        <v>94630.15</v>
      </c>
      <c r="CQ239" s="87"/>
      <c r="CR239" s="87">
        <f t="shared" si="543"/>
        <v>0</v>
      </c>
      <c r="CS239" s="77" t="str">
        <f t="shared" si="544"/>
        <v xml:space="preserve">   </v>
      </c>
      <c r="CT239" s="87">
        <f>IF(OR($A239&gt;'Debt Service'!CR$58,$A239&lt;CR$51), 0, SUM(CR239:CR$242)*CS239*CR$63/CR$64+SUM(CR240:CR$242)*(CR$64-CR$63)/CR$64*CS239)</f>
        <v>0</v>
      </c>
      <c r="CU239" s="87"/>
      <c r="CV239" s="87">
        <f t="shared" si="545"/>
        <v>0</v>
      </c>
      <c r="CW239" s="77" t="str">
        <f t="shared" si="546"/>
        <v xml:space="preserve">   </v>
      </c>
      <c r="CX239" s="87">
        <f>IF(OR($A239&gt;'Debt Service'!CV$58,$A239&lt;CV$51), 0, SUM(CV239:CV$242)*CW239*CV$63/CV$64+SUM(CV240:CV$242)*(CV$64-CV$63)/CV$64*CW239)</f>
        <v>0</v>
      </c>
      <c r="CY239" s="87"/>
      <c r="CZ239" s="165">
        <f t="shared" si="547"/>
        <v>0</v>
      </c>
      <c r="DA239" s="165">
        <f t="shared" si="548"/>
        <v>0</v>
      </c>
      <c r="DB239" s="87"/>
      <c r="DC239" s="87">
        <f t="shared" si="549"/>
        <v>0</v>
      </c>
      <c r="DD239" s="77" t="str">
        <f t="shared" si="550"/>
        <v xml:space="preserve">   </v>
      </c>
      <c r="DE239" s="87">
        <f>IF(OR($A239&gt;DC$191, $A239&lt;DC$51), 0, SUM(DC239:DC$242)*DD239*DC$63/DC$64+SUM(DC240:DC$242)*(DC$64-DC$63)/DC$64*DD239)</f>
        <v>0</v>
      </c>
      <c r="DF239" s="87"/>
      <c r="DG239" s="87">
        <f t="shared" si="551"/>
        <v>0</v>
      </c>
      <c r="DH239" s="77" t="str">
        <f t="shared" si="552"/>
        <v xml:space="preserve">   </v>
      </c>
      <c r="DI239" s="87">
        <f>IF(OR($A239&gt;DG$58, $A239&lt;DG$51), 0, SUM(DG239:DG$242)*DH239*DG$63/DG$64+SUM(DG240:DG$242)*(DG$64-DG$63)/DG$64*DH239)</f>
        <v>0</v>
      </c>
      <c r="DJ239" s="87"/>
      <c r="DK239" s="87">
        <f t="shared" si="553"/>
        <v>0</v>
      </c>
      <c r="DL239" s="77" t="str">
        <f t="shared" si="554"/>
        <v xml:space="preserve">   </v>
      </c>
      <c r="DM239" s="87">
        <f>IF(OR($A239&gt;DK$58, $A239&lt;DK$51), 0, SUM(DK239:DK$242)*DL239*DK$63/DK$64+SUM(DK240:DK$242)*(DK$64-DK$63)/DK$64*DL239)</f>
        <v>0</v>
      </c>
      <c r="DN239" s="87"/>
      <c r="DO239" s="87">
        <f t="shared" si="555"/>
        <v>0</v>
      </c>
      <c r="DP239" s="77" t="str">
        <f t="shared" si="556"/>
        <v xml:space="preserve">   </v>
      </c>
      <c r="DQ239" s="87">
        <f>IF(OR($A239&gt;DO$58, $A239&lt;DO$51), 0, SUM(DO239:DO$242)*DP239*DO$63/DO$64+SUM(DO240:DO$242)*(DO$64-DO$63)/DO$64*DP239)</f>
        <v>0</v>
      </c>
      <c r="DR239" s="87"/>
      <c r="DS239" s="87">
        <f t="shared" si="557"/>
        <v>0</v>
      </c>
      <c r="DT239" s="77" t="str">
        <f t="shared" si="558"/>
        <v xml:space="preserve">   </v>
      </c>
      <c r="DU239" s="87">
        <f>IF(OR($A239&gt;DS$58, $A239&lt;DS$51), 0, SUM(DS239:DS$242)*DT239*DS$63/DS$64+SUM(DS240:DS$242)*(DS$64-DS$63)/DS$64*DT239)</f>
        <v>0</v>
      </c>
      <c r="DV239" s="87"/>
      <c r="DW239" s="165">
        <f t="shared" si="571"/>
        <v>6424000</v>
      </c>
      <c r="DX239" s="165">
        <f t="shared" si="568"/>
        <v>94630.15</v>
      </c>
      <c r="DY239" s="87"/>
      <c r="DZ239" s="53">
        <f t="shared" si="559"/>
        <v>2057</v>
      </c>
      <c r="EA239" s="35">
        <f t="shared" si="560"/>
        <v>6424000</v>
      </c>
      <c r="EB239" s="35">
        <f t="shared" si="561"/>
        <v>94630.15</v>
      </c>
      <c r="EC239" s="35">
        <f t="shared" si="570"/>
        <v>0</v>
      </c>
      <c r="ED239" s="143">
        <f t="shared" si="569"/>
        <v>34</v>
      </c>
      <c r="EE239"/>
    </row>
    <row r="240" spans="1:135" s="33" customFormat="1" outlineLevel="1">
      <c r="A240" s="7">
        <f t="shared" si="562"/>
        <v>2058</v>
      </c>
      <c r="B240" s="151">
        <f>Assumptions!B42</f>
        <v>5.3800000000000001E-2</v>
      </c>
      <c r="C240" s="151">
        <f>Assumptions!C42</f>
        <v>5.3800000000000001E-2</v>
      </c>
      <c r="D240" s="151">
        <f>Assumptions!D42</f>
        <v>3.5000000000000003E-2</v>
      </c>
      <c r="E240" s="151">
        <f>Assumptions!E42</f>
        <v>5.2999999999999999E-2</v>
      </c>
      <c r="F240" s="8"/>
      <c r="G240" s="8"/>
      <c r="H240" s="8"/>
      <c r="I240" s="8"/>
      <c r="J240" s="8"/>
      <c r="K240" s="8"/>
      <c r="L240" s="8"/>
      <c r="M240" s="87">
        <f t="shared" si="504"/>
        <v>0</v>
      </c>
      <c r="N240" s="77" t="str">
        <f t="shared" si="505"/>
        <v xml:space="preserve">   </v>
      </c>
      <c r="O240" s="87">
        <f>IF($A240&gt;'Debt Service'!M$58, 0, SUM(M240:M$242)*N240*M$63/M$64+SUM(M241:M$242)*(M$64-M$63)/M$64*N240)</f>
        <v>0</v>
      </c>
      <c r="P240" s="35"/>
      <c r="Q240" s="87">
        <f t="shared" si="506"/>
        <v>0</v>
      </c>
      <c r="R240" s="77" t="str">
        <f t="shared" si="507"/>
        <v xml:space="preserve">   </v>
      </c>
      <c r="S240" s="87">
        <f>IF($A240&gt;'Debt Service'!Q$58, 0, SUM(Q240:Q$242)*R240*Q$63/Q$64+SUM(Q241:Q$242)*(Q$64-Q$63)/Q$64*R240)</f>
        <v>0</v>
      </c>
      <c r="T240" s="35"/>
      <c r="U240" s="35">
        <f t="shared" si="508"/>
        <v>0</v>
      </c>
      <c r="V240" s="35">
        <f t="shared" si="509"/>
        <v>0</v>
      </c>
      <c r="W240" s="35"/>
      <c r="X240" s="87">
        <f t="shared" si="510"/>
        <v>0</v>
      </c>
      <c r="Y240" s="77" t="str">
        <f t="shared" si="511"/>
        <v xml:space="preserve">   </v>
      </c>
      <c r="Z240" s="87">
        <f>IF($A240&gt;'Debt Service'!X$58, 0, SUM(X240:X$242)*Y240*X$63/X$64+SUM(X241:X$242)*(X$64-X$63)/X$64*Y240)</f>
        <v>0</v>
      </c>
      <c r="AA240" s="87"/>
      <c r="AB240" s="87">
        <f t="shared" si="512"/>
        <v>0</v>
      </c>
      <c r="AC240" s="77" t="str">
        <f t="shared" si="513"/>
        <v xml:space="preserve">   </v>
      </c>
      <c r="AD240" s="87">
        <f>IF($A240&gt;'Debt Service'!AB$58, 0, SUM(AB240:AB$242)*AC240*AB$63/AB$64+SUM(AB241:AB$242)*(AB$64-AB$63)/AB$64*AC240)</f>
        <v>0</v>
      </c>
      <c r="AE240" s="35"/>
      <c r="AF240" s="87">
        <f t="shared" si="514"/>
        <v>0</v>
      </c>
      <c r="AG240" s="77" t="str">
        <f t="shared" si="515"/>
        <v xml:space="preserve">   </v>
      </c>
      <c r="AH240" s="87">
        <f>IF($A240&gt;'Debt Service'!AF$58, 0, SUM(AF240:AF$242)*AG240*AF$63/AF$64+SUM(AF241:AF$242)*(AF$64-AF$63)/AF$64*AG240)</f>
        <v>0</v>
      </c>
      <c r="AI240" s="35"/>
      <c r="AJ240" s="87">
        <f t="shared" si="516"/>
        <v>0</v>
      </c>
      <c r="AK240" s="77" t="str">
        <f t="shared" si="517"/>
        <v xml:space="preserve">   </v>
      </c>
      <c r="AL240" s="87">
        <f>IF($A240&gt;'Debt Service'!AJ$58, 0, SUM(AJ240:AJ$242)*AK240*AJ$63/AJ$64+SUM(AJ241:AJ$242)*(AJ$64-AJ$63)/AJ$64*AK240)</f>
        <v>0</v>
      </c>
      <c r="AM240" s="35"/>
      <c r="AN240" s="87"/>
      <c r="AO240" s="77" t="str">
        <f t="shared" si="518"/>
        <v xml:space="preserve">   </v>
      </c>
      <c r="AP240" s="87">
        <f>IF($A240&gt;'Debt Service'!AN$58, 0, SUM(AN240:AN$242)*AO240*AN$63/AN$64+SUM(AN241:AN$242)*(AN$64-AN$63)/AN$64*AO240)</f>
        <v>0</v>
      </c>
      <c r="AQ240" s="35"/>
      <c r="AR240" s="87">
        <f t="shared" si="519"/>
        <v>0</v>
      </c>
      <c r="AS240" s="77" t="str">
        <f t="shared" si="520"/>
        <v xml:space="preserve">   </v>
      </c>
      <c r="AT240" s="87">
        <f>IF($A240&gt;'Debt Service'!AR$58, 0, SUM(AR240:AR$242)*AS240*AR$63/AR$64+SUM(AR241:AR$242)*(AR$64-AR$63)/AR$64*AS240)</f>
        <v>0</v>
      </c>
      <c r="AV240" s="35">
        <f t="shared" si="521"/>
        <v>0</v>
      </c>
      <c r="AW240" s="35">
        <f t="shared" si="522"/>
        <v>0</v>
      </c>
      <c r="AX240" s="35"/>
      <c r="AY240" s="87">
        <f t="shared" si="523"/>
        <v>0</v>
      </c>
      <c r="AZ240" s="77" t="str">
        <f t="shared" si="524"/>
        <v xml:space="preserve">   </v>
      </c>
      <c r="BA240" s="87">
        <f>IF($A240&gt;'Debt Service'!AY$58, 0, SUM(AY240:AY$242)*AZ240*AY$63/AY$64+SUM(AY241:AY$242)*(AY$64-AY$63)/AY$64*AZ240)</f>
        <v>0</v>
      </c>
      <c r="BB240" s="61"/>
      <c r="BC240" s="87">
        <f t="shared" si="525"/>
        <v>0</v>
      </c>
      <c r="BD240" s="77" t="str">
        <f t="shared" si="526"/>
        <v xml:space="preserve">   </v>
      </c>
      <c r="BE240" s="87">
        <f>IF($A240&gt;'Debt Service'!BC$58, 0, SUM(BC240:BC$242)*BD240*BC$63/BC$64+SUM(BC241:BC$242)*(BC$64-BC$63)/BC$64*BD240)</f>
        <v>0</v>
      </c>
      <c r="BF240" s="61"/>
      <c r="BG240" s="87">
        <f t="shared" si="527"/>
        <v>0</v>
      </c>
      <c r="BH240" s="77" t="str">
        <f t="shared" si="528"/>
        <v xml:space="preserve">   </v>
      </c>
      <c r="BI240" s="87">
        <f>IF($A240&gt;'Debt Service'!BG$58, 0, SUM(BG240:BG$242)*BH240*BG$63/BG$64+SUM(BG241:BG$242)*(BG$64-BG$63)/BG$64*BH240)</f>
        <v>0</v>
      </c>
      <c r="BJ240" s="61"/>
      <c r="BK240" s="35">
        <f t="shared" si="563"/>
        <v>0</v>
      </c>
      <c r="BL240" s="35">
        <f t="shared" si="564"/>
        <v>0</v>
      </c>
      <c r="BM240" s="8"/>
      <c r="BN240" s="87">
        <f t="shared" si="529"/>
        <v>0</v>
      </c>
      <c r="BO240" s="77" t="str">
        <f t="shared" si="530"/>
        <v xml:space="preserve">   </v>
      </c>
      <c r="BP240" s="87">
        <f>IF($A240&gt;'Debt Service'!BN$58, 0, SUM(BN240:BN$242)*BO240*BN$63/BN$64+SUM(BN241:BN$242)*(BN$64-BN$63)/BN$64*BO240)</f>
        <v>0</v>
      </c>
      <c r="BQ240" s="77"/>
      <c r="BR240" s="87">
        <f t="shared" si="531"/>
        <v>0</v>
      </c>
      <c r="BS240" s="77" t="str">
        <f t="shared" si="532"/>
        <v xml:space="preserve">   </v>
      </c>
      <c r="BT240" s="87">
        <f>IF($A240&gt;'Debt Service'!BR$58, 0, SUM(BR240:BR$242)*BS240*BR$63/BR$64+SUM(BR241:BR$242)*(BR$64-BR$63)/BR$64*BS240)</f>
        <v>0</v>
      </c>
      <c r="BU240" s="87"/>
      <c r="BV240" s="35">
        <f t="shared" si="565"/>
        <v>0</v>
      </c>
      <c r="BW240" s="35">
        <f t="shared" si="566"/>
        <v>0</v>
      </c>
      <c r="BX240" s="87"/>
      <c r="BY240" s="87">
        <f t="shared" si="533"/>
        <v>0</v>
      </c>
      <c r="BZ240" s="77" t="str">
        <f t="shared" si="534"/>
        <v xml:space="preserve">   </v>
      </c>
      <c r="CA240" s="87">
        <f>IF($A240&gt;'Debt Service'!BY$58, 0, SUM(BY240:BY$242)*BZ240*BY$63/BY$64+SUM(BY241:BY$242)*(BY$64-BY$63)/BY$64*BZ240)</f>
        <v>0</v>
      </c>
      <c r="CB240" s="87"/>
      <c r="CC240" s="87">
        <f t="shared" si="535"/>
        <v>0</v>
      </c>
      <c r="CD240" s="77" t="str">
        <f t="shared" si="536"/>
        <v xml:space="preserve">   </v>
      </c>
      <c r="CE240" s="87">
        <f>IF(OR($A240&gt;'Debt Service'!CC$58,$A240&lt;CC$51), 0, SUM(CC240:CC$242)*CD240*CC$63/CC$64+SUM(CC241:CC$242)*(CC$64-CC$63)/CC$64*CD240)</f>
        <v>0</v>
      </c>
      <c r="CF240" s="87"/>
      <c r="CG240" s="87">
        <f t="shared" si="537"/>
        <v>0</v>
      </c>
      <c r="CH240" s="77" t="str">
        <f t="shared" si="538"/>
        <v xml:space="preserve">   </v>
      </c>
      <c r="CI240" s="87">
        <f>IF(OR($A240&gt;'Debt Service'!CG$58,$A240&lt;CG$51), 0, SUM(CG240:CG$242)*CH240*CG$63/CG$64+SUM(CG241:CG$242)*(CG$64-CG$63)/CG$64*CH240)</f>
        <v>0</v>
      </c>
      <c r="CJ240" s="87"/>
      <c r="CK240" s="87">
        <f t="shared" si="539"/>
        <v>0</v>
      </c>
      <c r="CL240" s="77" t="str">
        <f t="shared" si="540"/>
        <v xml:space="preserve">   </v>
      </c>
      <c r="CM240" s="87">
        <f>IF(OR($A240&gt;'Debt Service'!CK$58,$A240&lt;CK$51), 0, SUM(CK240:CK$242)*CL240*CK$63/CK$64+SUM(CK241:CK$242)*(CK$64-CK$63)/CK$64*CL240)</f>
        <v>0</v>
      </c>
      <c r="CN240" s="87"/>
      <c r="CO240" s="162">
        <f t="shared" si="541"/>
        <v>0</v>
      </c>
      <c r="CP240" s="87">
        <f t="shared" si="542"/>
        <v>0</v>
      </c>
      <c r="CQ240" s="87"/>
      <c r="CR240" s="87">
        <f t="shared" si="543"/>
        <v>0</v>
      </c>
      <c r="CS240" s="77" t="str">
        <f t="shared" si="544"/>
        <v xml:space="preserve">   </v>
      </c>
      <c r="CT240" s="87">
        <f>IF(OR($A240&gt;'Debt Service'!CR$58,$A240&lt;CR$51), 0, SUM(CR240:CR$242)*CS240*CR$63/CR$64+SUM(CR241:CR$242)*(CR$64-CR$63)/CR$64*CS240)</f>
        <v>0</v>
      </c>
      <c r="CU240" s="87"/>
      <c r="CV240" s="87">
        <f t="shared" si="545"/>
        <v>0</v>
      </c>
      <c r="CW240" s="77" t="str">
        <f t="shared" si="546"/>
        <v xml:space="preserve">   </v>
      </c>
      <c r="CX240" s="87">
        <f>IF(OR($A240&gt;'Debt Service'!CV$58,$A240&lt;CV$51), 0, SUM(CV240:CV$242)*CW240*CV$63/CV$64+SUM(CV241:CV$242)*(CV$64-CV$63)/CV$64*CW240)</f>
        <v>0</v>
      </c>
      <c r="CY240" s="87"/>
      <c r="CZ240" s="165">
        <f t="shared" si="547"/>
        <v>0</v>
      </c>
      <c r="DA240" s="165">
        <f t="shared" si="548"/>
        <v>0</v>
      </c>
      <c r="DB240" s="87"/>
      <c r="DC240" s="87">
        <f t="shared" si="549"/>
        <v>0</v>
      </c>
      <c r="DD240" s="77" t="str">
        <f t="shared" si="550"/>
        <v xml:space="preserve">   </v>
      </c>
      <c r="DE240" s="87">
        <f>IF(OR($A240&gt;DC$191, $A240&lt;DC$51), 0, SUM(DC240:DC$242)*DD240*DC$63/DC$64+SUM(DC241:DC$242)*(DC$64-DC$63)/DC$64*DD240)</f>
        <v>0</v>
      </c>
      <c r="DF240" s="87"/>
      <c r="DG240" s="87">
        <f t="shared" si="551"/>
        <v>0</v>
      </c>
      <c r="DH240" s="77" t="str">
        <f t="shared" si="552"/>
        <v xml:space="preserve">   </v>
      </c>
      <c r="DI240" s="87">
        <f>IF(OR($A240&gt;DG$58, $A240&lt;DG$51), 0, SUM(DG240:DG$242)*DH240*DG$63/DG$64+SUM(DG241:DG$242)*(DG$64-DG$63)/DG$64*DH240)</f>
        <v>0</v>
      </c>
      <c r="DJ240" s="87"/>
      <c r="DK240" s="87">
        <f t="shared" si="553"/>
        <v>0</v>
      </c>
      <c r="DL240" s="77" t="str">
        <f t="shared" si="554"/>
        <v xml:space="preserve">   </v>
      </c>
      <c r="DM240" s="87">
        <f>IF(OR($A240&gt;DK$58, $A240&lt;DK$51), 0, SUM(DK240:DK$242)*DL240*DK$63/DK$64+SUM(DK241:DK$242)*(DK$64-DK$63)/DK$64*DL240)</f>
        <v>0</v>
      </c>
      <c r="DN240" s="87"/>
      <c r="DO240" s="87">
        <f t="shared" si="555"/>
        <v>0</v>
      </c>
      <c r="DP240" s="77" t="str">
        <f t="shared" si="556"/>
        <v xml:space="preserve">   </v>
      </c>
      <c r="DQ240" s="87">
        <f>IF(OR($A240&gt;DO$58, $A240&lt;DO$51), 0, SUM(DO240:DO$242)*DP240*DO$63/DO$64+SUM(DO241:DO$242)*(DO$64-DO$63)/DO$64*DP240)</f>
        <v>0</v>
      </c>
      <c r="DR240" s="87"/>
      <c r="DS240" s="87">
        <f t="shared" si="557"/>
        <v>0</v>
      </c>
      <c r="DT240" s="77" t="str">
        <f t="shared" si="558"/>
        <v xml:space="preserve">   </v>
      </c>
      <c r="DU240" s="87">
        <f>IF(OR($A240&gt;DS$58, $A240&lt;DS$51), 0, SUM(DS240:DS$242)*DT240*DS$63/DS$64+SUM(DS241:DS$242)*(DS$64-DS$63)/DS$64*DT240)</f>
        <v>0</v>
      </c>
      <c r="DV240" s="87"/>
      <c r="DW240" s="165">
        <f t="shared" si="571"/>
        <v>0</v>
      </c>
      <c r="DX240" s="165">
        <f t="shared" si="568"/>
        <v>0</v>
      </c>
      <c r="DY240" s="87"/>
      <c r="DZ240" s="53">
        <f t="shared" si="559"/>
        <v>2058</v>
      </c>
      <c r="EA240" s="35">
        <f t="shared" si="560"/>
        <v>0</v>
      </c>
      <c r="EB240" s="35">
        <f t="shared" si="561"/>
        <v>0</v>
      </c>
      <c r="EC240" s="35">
        <f t="shared" si="570"/>
        <v>0</v>
      </c>
      <c r="ED240" s="143">
        <f t="shared" si="569"/>
        <v>35</v>
      </c>
      <c r="EE240"/>
    </row>
    <row r="241" spans="1:135" s="33" customFormat="1" outlineLevel="1">
      <c r="A241" s="7">
        <f t="shared" si="562"/>
        <v>2059</v>
      </c>
      <c r="B241" s="151">
        <f>Assumptions!B43</f>
        <v>5.3800000000000001E-2</v>
      </c>
      <c r="C241" s="151">
        <f>Assumptions!C43</f>
        <v>5.3800000000000001E-2</v>
      </c>
      <c r="D241" s="151">
        <f>Assumptions!D43</f>
        <v>3.5000000000000003E-2</v>
      </c>
      <c r="E241" s="151">
        <f>Assumptions!E43</f>
        <v>5.2999999999999999E-2</v>
      </c>
      <c r="F241" s="8"/>
      <c r="G241" s="8"/>
      <c r="H241" s="8"/>
      <c r="I241" s="8"/>
      <c r="J241" s="8"/>
      <c r="K241" s="8"/>
      <c r="L241" s="8"/>
      <c r="M241" s="87">
        <f t="shared" si="504"/>
        <v>0</v>
      </c>
      <c r="N241" s="77" t="str">
        <f t="shared" si="505"/>
        <v xml:space="preserve">   </v>
      </c>
      <c r="O241" s="87">
        <f>IF($A241&gt;'Debt Service'!M$58, 0, SUM(M241:M$242)*N241*M$63/M$64+SUM(M242:M$242)*(M$64-M$63)/M$64*N241)</f>
        <v>0</v>
      </c>
      <c r="P241" s="35"/>
      <c r="Q241" s="87">
        <f t="shared" si="506"/>
        <v>0</v>
      </c>
      <c r="R241" s="77" t="str">
        <f t="shared" si="507"/>
        <v xml:space="preserve">   </v>
      </c>
      <c r="S241" s="87">
        <f>IF($A241&gt;'Debt Service'!Q$58, 0, SUM(Q241:Q$242)*R241*Q$63/Q$64+SUM(Q242:Q$242)*(Q$64-Q$63)/Q$64*R241)</f>
        <v>0</v>
      </c>
      <c r="T241" s="35"/>
      <c r="U241" s="35">
        <f t="shared" si="508"/>
        <v>0</v>
      </c>
      <c r="V241" s="35">
        <f t="shared" si="509"/>
        <v>0</v>
      </c>
      <c r="W241" s="35"/>
      <c r="X241" s="87">
        <f t="shared" si="510"/>
        <v>0</v>
      </c>
      <c r="Y241" s="77" t="str">
        <f t="shared" si="511"/>
        <v xml:space="preserve">   </v>
      </c>
      <c r="Z241" s="87">
        <f>IF($A241&gt;'Debt Service'!X$58, 0, SUM(X241:X$242)*Y241*X$63/X$64+SUM(X242:X$242)*(X$64-X$63)/X$64*Y241)</f>
        <v>0</v>
      </c>
      <c r="AA241" s="87"/>
      <c r="AB241" s="87">
        <f t="shared" si="512"/>
        <v>0</v>
      </c>
      <c r="AC241" s="77" t="str">
        <f t="shared" si="513"/>
        <v xml:space="preserve">   </v>
      </c>
      <c r="AD241" s="87">
        <f>IF($A241&gt;'Debt Service'!AB$58, 0, SUM(AB241:AB$242)*AC241*AB$63/AB$64+SUM(AB242:AB$242)*(AB$64-AB$63)/AB$64*AC241)</f>
        <v>0</v>
      </c>
      <c r="AE241" s="35"/>
      <c r="AF241" s="87">
        <f t="shared" si="514"/>
        <v>0</v>
      </c>
      <c r="AG241" s="77" t="str">
        <f t="shared" si="515"/>
        <v xml:space="preserve">   </v>
      </c>
      <c r="AH241" s="87">
        <f>IF($A241&gt;'Debt Service'!AF$58, 0, SUM(AF241:AF$242)*AG241*AF$63/AF$64+SUM(AF242:AF$242)*(AF$64-AF$63)/AF$64*AG241)</f>
        <v>0</v>
      </c>
      <c r="AI241" s="35"/>
      <c r="AJ241" s="87">
        <f t="shared" si="516"/>
        <v>0</v>
      </c>
      <c r="AK241" s="77" t="str">
        <f t="shared" si="517"/>
        <v xml:space="preserve">   </v>
      </c>
      <c r="AL241" s="87">
        <f>IF($A241&gt;'Debt Service'!AJ$58, 0, SUM(AJ241:AJ$242)*AK241*AJ$63/AJ$64+SUM(AJ242:AJ$242)*(AJ$64-AJ$63)/AJ$64*AK241)</f>
        <v>0</v>
      </c>
      <c r="AM241" s="35"/>
      <c r="AN241" s="87"/>
      <c r="AO241" s="77" t="str">
        <f t="shared" si="518"/>
        <v xml:space="preserve">   </v>
      </c>
      <c r="AP241" s="87">
        <f>IF($A241&gt;'Debt Service'!AN$58, 0, SUM(AN241:AN$242)*AO241*AN$63/AN$64+SUM(AN242:AN$242)*(AN$64-AN$63)/AN$64*AO241)</f>
        <v>0</v>
      </c>
      <c r="AQ241" s="35"/>
      <c r="AR241" s="87">
        <f t="shared" si="519"/>
        <v>0</v>
      </c>
      <c r="AS241" s="77" t="str">
        <f t="shared" si="520"/>
        <v xml:space="preserve">   </v>
      </c>
      <c r="AT241" s="87">
        <f>IF($A241&gt;'Debt Service'!AR$58, 0, SUM(AR241:AR$242)*AS241*AR$63/AR$64+SUM(AR242:AR$242)*(AR$64-AR$63)/AR$64*AS241)</f>
        <v>0</v>
      </c>
      <c r="AV241" s="35">
        <f t="shared" si="521"/>
        <v>0</v>
      </c>
      <c r="AW241" s="35">
        <f t="shared" si="522"/>
        <v>0</v>
      </c>
      <c r="AX241" s="35"/>
      <c r="AY241" s="87">
        <f t="shared" si="523"/>
        <v>0</v>
      </c>
      <c r="AZ241" s="77" t="str">
        <f t="shared" si="524"/>
        <v xml:space="preserve">   </v>
      </c>
      <c r="BA241" s="87">
        <f>IF($A241&gt;'Debt Service'!AY$58, 0, SUM(AY241:AY$242)*AZ241*AY$63/AY$64+SUM(AY242:AY$242)*(AY$64-AY$63)/AY$64*AZ241)</f>
        <v>0</v>
      </c>
      <c r="BB241" s="61"/>
      <c r="BC241" s="87">
        <f t="shared" si="525"/>
        <v>0</v>
      </c>
      <c r="BD241" s="77" t="str">
        <f t="shared" si="526"/>
        <v xml:space="preserve">   </v>
      </c>
      <c r="BE241" s="87">
        <f>IF($A241&gt;'Debt Service'!BC$58, 0, SUM(BC241:BC$242)*BD241*BC$63/BC$64+SUM(BC242:BC$242)*(BC$64-BC$63)/BC$64*BD241)</f>
        <v>0</v>
      </c>
      <c r="BF241" s="61"/>
      <c r="BG241" s="87">
        <f t="shared" si="527"/>
        <v>0</v>
      </c>
      <c r="BH241" s="77" t="str">
        <f t="shared" si="528"/>
        <v xml:space="preserve">   </v>
      </c>
      <c r="BI241" s="87">
        <f>IF($A241&gt;'Debt Service'!BG$58, 0, SUM(BG241:BG$242)*BH241*BG$63/BG$64+SUM(BG242:BG$242)*(BG$64-BG$63)/BG$64*BH241)</f>
        <v>0</v>
      </c>
      <c r="BJ241" s="61"/>
      <c r="BK241" s="35">
        <f t="shared" si="563"/>
        <v>0</v>
      </c>
      <c r="BL241" s="35">
        <f t="shared" si="564"/>
        <v>0</v>
      </c>
      <c r="BM241" s="8"/>
      <c r="BN241" s="87">
        <f t="shared" si="529"/>
        <v>0</v>
      </c>
      <c r="BO241" s="77" t="str">
        <f t="shared" si="530"/>
        <v xml:space="preserve">   </v>
      </c>
      <c r="BP241" s="87">
        <f>IF($A241&gt;'Debt Service'!BN$58, 0, SUM(BN241:BN$242)*BO241*BN$63/BN$64+SUM(BN242:BN$242)*(BN$64-BN$63)/BN$64*BO241)</f>
        <v>0</v>
      </c>
      <c r="BQ241" s="77"/>
      <c r="BR241" s="87">
        <f t="shared" si="531"/>
        <v>0</v>
      </c>
      <c r="BS241" s="77" t="str">
        <f t="shared" si="532"/>
        <v xml:space="preserve">   </v>
      </c>
      <c r="BT241" s="87">
        <f>IF($A241&gt;'Debt Service'!BR$58, 0, SUM(BR241:BR$242)*BS241*BR$63/BR$64+SUM(BR242:BR$242)*(BR$64-BR$63)/BR$64*BS241)</f>
        <v>0</v>
      </c>
      <c r="BU241" s="87"/>
      <c r="BV241" s="35">
        <f t="shared" si="565"/>
        <v>0</v>
      </c>
      <c r="BW241" s="35">
        <f t="shared" si="566"/>
        <v>0</v>
      </c>
      <c r="BX241" s="87"/>
      <c r="BY241" s="87">
        <f t="shared" si="533"/>
        <v>0</v>
      </c>
      <c r="BZ241" s="77" t="str">
        <f t="shared" si="534"/>
        <v xml:space="preserve">   </v>
      </c>
      <c r="CA241" s="87">
        <f>IF($A241&gt;'Debt Service'!BY$58, 0, SUM(BY241:BY$242)*BZ241*BY$63/BY$64+SUM(BY242:BY$242)*(BY$64-BY$63)/BY$64*BZ241)</f>
        <v>0</v>
      </c>
      <c r="CB241" s="87"/>
      <c r="CC241" s="87">
        <f t="shared" si="535"/>
        <v>0</v>
      </c>
      <c r="CD241" s="77" t="str">
        <f t="shared" si="536"/>
        <v xml:space="preserve">   </v>
      </c>
      <c r="CE241" s="87">
        <f>IF(OR($A241&gt;'Debt Service'!CC$58,$A241&lt;CC$51), 0, SUM(CC241:CC$242)*CD241*CC$63/CC$64+SUM(CC242:CC$242)*(CC$64-CC$63)/CC$64*CD241)</f>
        <v>0</v>
      </c>
      <c r="CF241" s="87"/>
      <c r="CG241" s="87">
        <f t="shared" si="537"/>
        <v>0</v>
      </c>
      <c r="CH241" s="77" t="str">
        <f t="shared" si="538"/>
        <v xml:space="preserve">   </v>
      </c>
      <c r="CI241" s="87">
        <f>IF(OR($A241&gt;'Debt Service'!CG$58,$A241&lt;CG$51), 0, SUM(CG241:CG$242)*CH241*CG$63/CG$64+SUM(CG242:CG$242)*(CG$64-CG$63)/CG$64*CH241)</f>
        <v>0</v>
      </c>
      <c r="CJ241" s="87"/>
      <c r="CK241" s="87">
        <f t="shared" si="539"/>
        <v>0</v>
      </c>
      <c r="CL241" s="77" t="str">
        <f t="shared" si="540"/>
        <v xml:space="preserve">   </v>
      </c>
      <c r="CM241" s="87">
        <f>IF(OR($A241&gt;'Debt Service'!CK$58,$A241&lt;CK$51), 0, SUM(CK241:CK$242)*CL241*CK$63/CK$64+SUM(CK242:CK$242)*(CK$64-CK$63)/CK$64*CL241)</f>
        <v>0</v>
      </c>
      <c r="CN241" s="87"/>
      <c r="CO241" s="162">
        <f t="shared" si="541"/>
        <v>0</v>
      </c>
      <c r="CP241" s="87">
        <f t="shared" si="542"/>
        <v>0</v>
      </c>
      <c r="CQ241" s="87"/>
      <c r="CR241" s="87">
        <f t="shared" si="543"/>
        <v>0</v>
      </c>
      <c r="CS241" s="77" t="str">
        <f t="shared" si="544"/>
        <v xml:space="preserve">   </v>
      </c>
      <c r="CT241" s="87">
        <f>IF(OR($A241&gt;'Debt Service'!CR$58,$A241&lt;CR$51), 0, SUM(CR241:CR$242)*CS241*CR$63/CR$64+SUM(CR242:CR$242)*(CR$64-CR$63)/CR$64*CS241)</f>
        <v>0</v>
      </c>
      <c r="CU241" s="87"/>
      <c r="CV241" s="87">
        <f t="shared" si="545"/>
        <v>0</v>
      </c>
      <c r="CW241" s="77" t="str">
        <f t="shared" si="546"/>
        <v xml:space="preserve">   </v>
      </c>
      <c r="CX241" s="87">
        <f>IF(OR($A241&gt;'Debt Service'!CV$58,$A241&lt;CV$51), 0, SUM(CV241:CV$242)*CW241*CV$63/CV$64+SUM(CV242:CV$242)*(CV$64-CV$63)/CV$64*CW241)</f>
        <v>0</v>
      </c>
      <c r="CY241" s="87"/>
      <c r="CZ241" s="165">
        <f t="shared" si="547"/>
        <v>0</v>
      </c>
      <c r="DA241" s="165">
        <f t="shared" si="548"/>
        <v>0</v>
      </c>
      <c r="DB241" s="87"/>
      <c r="DC241" s="87">
        <f t="shared" si="549"/>
        <v>0</v>
      </c>
      <c r="DD241" s="77" t="str">
        <f t="shared" si="550"/>
        <v xml:space="preserve">   </v>
      </c>
      <c r="DE241" s="87">
        <f>IF(OR($A241&gt;DC$191, $A241&lt;DC$51), 0, SUM(DC241:DC$242)*DD241*DC$63/DC$64+SUM(DC242:DC$242)*(DC$64-DC$63)/DC$64*DD241)</f>
        <v>0</v>
      </c>
      <c r="DF241" s="87"/>
      <c r="DG241" s="87">
        <f t="shared" si="551"/>
        <v>0</v>
      </c>
      <c r="DH241" s="77" t="str">
        <f t="shared" si="552"/>
        <v xml:space="preserve">   </v>
      </c>
      <c r="DI241" s="87">
        <f>IF(OR($A241&gt;DG$58, $A241&lt;DG$51), 0, SUM(DG241:DG$242)*DH241*DG$63/DG$64+SUM(DG242:DG$242)*(DG$64-DG$63)/DG$64*DH241)</f>
        <v>0</v>
      </c>
      <c r="DJ241" s="87"/>
      <c r="DK241" s="87">
        <f t="shared" si="553"/>
        <v>0</v>
      </c>
      <c r="DL241" s="77" t="str">
        <f t="shared" si="554"/>
        <v xml:space="preserve">   </v>
      </c>
      <c r="DM241" s="87">
        <f>IF(OR($A241&gt;DK$58, $A241&lt;DK$51), 0, SUM(DK241:DK$242)*DL241*DK$63/DK$64+SUM(DK242:DK$242)*(DK$64-DK$63)/DK$64*DL241)</f>
        <v>0</v>
      </c>
      <c r="DN241" s="87"/>
      <c r="DO241" s="87">
        <f t="shared" si="555"/>
        <v>0</v>
      </c>
      <c r="DP241" s="77" t="str">
        <f t="shared" si="556"/>
        <v xml:space="preserve">   </v>
      </c>
      <c r="DQ241" s="87">
        <f>IF(OR($A241&gt;DO$58, $A241&lt;DO$51), 0, SUM(DO241:DO$242)*DP241*DO$63/DO$64+SUM(DO242:DO$242)*(DO$64-DO$63)/DO$64*DP241)</f>
        <v>0</v>
      </c>
      <c r="DR241" s="87"/>
      <c r="DS241" s="87">
        <f t="shared" si="557"/>
        <v>0</v>
      </c>
      <c r="DT241" s="77" t="str">
        <f t="shared" si="558"/>
        <v xml:space="preserve">   </v>
      </c>
      <c r="DU241" s="87">
        <f>IF(OR($A241&gt;DS$58, $A241&lt;DS$51), 0, SUM(DS241:DS$242)*DT241*DS$63/DS$64+SUM(DS242:DS$242)*(DS$64-DS$63)/DS$64*DT241)</f>
        <v>0</v>
      </c>
      <c r="DV241" s="87"/>
      <c r="DW241" s="165">
        <f t="shared" si="571"/>
        <v>0</v>
      </c>
      <c r="DX241" s="165">
        <f t="shared" si="568"/>
        <v>0</v>
      </c>
      <c r="DY241" s="87"/>
      <c r="DZ241" s="53">
        <f t="shared" si="559"/>
        <v>2059</v>
      </c>
      <c r="EA241" s="35">
        <f t="shared" si="560"/>
        <v>0</v>
      </c>
      <c r="EB241" s="35">
        <f t="shared" si="561"/>
        <v>0</v>
      </c>
      <c r="EC241" s="35">
        <f t="shared" si="570"/>
        <v>0</v>
      </c>
      <c r="ED241" s="143">
        <f t="shared" si="569"/>
        <v>36</v>
      </c>
      <c r="EE241"/>
    </row>
    <row r="242" spans="1:135" s="33" customFormat="1" outlineLevel="1">
      <c r="A242" s="7">
        <f t="shared" si="562"/>
        <v>2060</v>
      </c>
      <c r="B242" s="151">
        <f>Assumptions!B44</f>
        <v>5.3800000000000001E-2</v>
      </c>
      <c r="C242" s="151">
        <f>Assumptions!C44</f>
        <v>5.3800000000000001E-2</v>
      </c>
      <c r="D242" s="151">
        <f>Assumptions!D44</f>
        <v>3.5000000000000003E-2</v>
      </c>
      <c r="E242" s="151">
        <f>Assumptions!E44</f>
        <v>5.2999999999999999E-2</v>
      </c>
      <c r="F242" s="8"/>
      <c r="G242" s="8"/>
      <c r="H242" s="8"/>
      <c r="I242" s="8"/>
      <c r="J242" s="8"/>
      <c r="K242" s="8"/>
      <c r="L242" s="8"/>
      <c r="M242" s="87">
        <f t="shared" si="504"/>
        <v>0</v>
      </c>
      <c r="N242" s="77" t="str">
        <f t="shared" si="505"/>
        <v xml:space="preserve">   </v>
      </c>
      <c r="O242" s="87">
        <f>IF($A242&gt;'Debt Service'!M$58, 0, SUM(M242:M$242)*N242*M$63/M$64+SUM(#REF!)*(M$64-M$63)/M$64*N242)</f>
        <v>0</v>
      </c>
      <c r="P242" s="35"/>
      <c r="Q242" s="87">
        <f t="shared" si="506"/>
        <v>0</v>
      </c>
      <c r="R242" s="77" t="str">
        <f t="shared" si="507"/>
        <v xml:space="preserve">   </v>
      </c>
      <c r="S242" s="87">
        <f>IF($A242&gt;'Debt Service'!Q$58, 0, SUM(Q242:Q$242)*R242*Q$63/Q$64+SUM(#REF!)*(Q$64-Q$63)/Q$64*R242)</f>
        <v>0</v>
      </c>
      <c r="T242" s="35"/>
      <c r="U242" s="35">
        <f t="shared" si="508"/>
        <v>0</v>
      </c>
      <c r="V242" s="35">
        <f t="shared" si="509"/>
        <v>0</v>
      </c>
      <c r="W242" s="35"/>
      <c r="X242" s="87">
        <f t="shared" si="510"/>
        <v>0</v>
      </c>
      <c r="Y242" s="77" t="str">
        <f t="shared" si="511"/>
        <v xml:space="preserve">   </v>
      </c>
      <c r="Z242" s="87">
        <f>IF($A242&gt;'Debt Service'!X$58, 0, SUM(X242:X$242)*Y242*X$63/X$64+SUM(#REF!)*(X$64-X$63)/X$64*Y242)</f>
        <v>0</v>
      </c>
      <c r="AA242" s="87"/>
      <c r="AB242" s="87">
        <f t="shared" si="512"/>
        <v>0</v>
      </c>
      <c r="AC242" s="77" t="str">
        <f t="shared" si="513"/>
        <v xml:space="preserve">   </v>
      </c>
      <c r="AD242" s="87">
        <f>IF($A242&gt;'Debt Service'!AB$58, 0, SUM(AB242:AB$242)*AC242*AB$63/AB$64+SUM(#REF!)*(AB$64-AB$63)/AB$64*AC242)</f>
        <v>0</v>
      </c>
      <c r="AE242" s="35"/>
      <c r="AF242" s="87">
        <f t="shared" si="514"/>
        <v>0</v>
      </c>
      <c r="AG242" s="77" t="str">
        <f t="shared" si="515"/>
        <v xml:space="preserve">   </v>
      </c>
      <c r="AH242" s="87">
        <f>IF($A242&gt;'Debt Service'!AF$58, 0, SUM(AF242:AF$242)*AG242*AF$63/AF$64+SUM(#REF!)*(AF$64-AF$63)/AF$64*AG242)</f>
        <v>0</v>
      </c>
      <c r="AI242" s="35"/>
      <c r="AJ242" s="87">
        <f t="shared" si="516"/>
        <v>0</v>
      </c>
      <c r="AK242" s="77" t="str">
        <f t="shared" si="517"/>
        <v xml:space="preserve">   </v>
      </c>
      <c r="AL242" s="87">
        <f>IF($A242&gt;'Debt Service'!AJ$58, 0, SUM(AJ242:AJ$242)*AK242*AJ$63/AJ$64+SUM(#REF!)*(AJ$64-AJ$63)/AJ$64*AK242)</f>
        <v>0</v>
      </c>
      <c r="AM242" s="35"/>
      <c r="AN242" s="87"/>
      <c r="AO242" s="77" t="str">
        <f t="shared" si="518"/>
        <v xml:space="preserve">   </v>
      </c>
      <c r="AP242" s="87">
        <f>IF($A242&gt;'Debt Service'!AN$58, 0, SUM(AN242:AN$242)*AO242*AN$63/AN$64+SUM(#REF!)*(AN$64-AN$63)/AN$64*AO242)</f>
        <v>0</v>
      </c>
      <c r="AQ242" s="35"/>
      <c r="AR242" s="87">
        <f t="shared" si="519"/>
        <v>0</v>
      </c>
      <c r="AS242" s="77" t="str">
        <f t="shared" si="520"/>
        <v xml:space="preserve">   </v>
      </c>
      <c r="AT242" s="87">
        <f>IF($A242&gt;'Debt Service'!AR$58, 0, SUM(AR242:AR$242)*AS242*AR$63/AR$64+SUM(#REF!)*(AR$64-AR$63)/AR$64*AS242)</f>
        <v>0</v>
      </c>
      <c r="AV242" s="35">
        <f t="shared" si="521"/>
        <v>0</v>
      </c>
      <c r="AW242" s="35">
        <f t="shared" si="522"/>
        <v>0</v>
      </c>
      <c r="AX242" s="35"/>
      <c r="AY242" s="87">
        <f t="shared" si="523"/>
        <v>0</v>
      </c>
      <c r="AZ242" s="77" t="str">
        <f t="shared" si="524"/>
        <v xml:space="preserve">   </v>
      </c>
      <c r="BA242" s="87">
        <f>IF($A242&gt;'Debt Service'!AY$58, 0, SUM(AY242:AY$242)*AZ242*AY$63/AY$64+SUM(#REF!)*(AY$64-AY$63)/AY$64*AZ242)</f>
        <v>0</v>
      </c>
      <c r="BB242" s="61"/>
      <c r="BC242" s="87">
        <f t="shared" si="525"/>
        <v>0</v>
      </c>
      <c r="BD242" s="77" t="str">
        <f t="shared" si="526"/>
        <v xml:space="preserve">   </v>
      </c>
      <c r="BE242" s="87">
        <f>IF($A242&gt;'Debt Service'!BC$58, 0, SUM(BC242:BC$242)*BD242*BC$63/BC$64+SUM(#REF!)*(BC$64-BC$63)/BC$64*BD242)</f>
        <v>0</v>
      </c>
      <c r="BF242" s="61"/>
      <c r="BG242" s="87">
        <f t="shared" si="527"/>
        <v>0</v>
      </c>
      <c r="BH242" s="77" t="str">
        <f t="shared" si="528"/>
        <v xml:space="preserve">   </v>
      </c>
      <c r="BI242" s="87">
        <f>IF($A242&gt;'Debt Service'!BG$58, 0, SUM(BG242:BG$242)*BH242*BG$63/BG$64+SUM(#REF!)*(BG$64-BG$63)/BG$64*BH242)</f>
        <v>0</v>
      </c>
      <c r="BJ242" s="61"/>
      <c r="BK242" s="35">
        <f t="shared" si="563"/>
        <v>0</v>
      </c>
      <c r="BL242" s="35">
        <f t="shared" si="564"/>
        <v>0</v>
      </c>
      <c r="BM242" s="8"/>
      <c r="BN242" s="87">
        <f t="shared" si="529"/>
        <v>0</v>
      </c>
      <c r="BO242" s="77" t="str">
        <f t="shared" si="530"/>
        <v xml:space="preserve">   </v>
      </c>
      <c r="BP242" s="87">
        <f>IF($A242&gt;'Debt Service'!BN$58, 0, SUM(BN242:BN$242)*BO242*BN$63/BN$64+SUM(#REF!)*(BN$64-BN$63)/BN$64*BO242)</f>
        <v>0</v>
      </c>
      <c r="BQ242" s="77"/>
      <c r="BR242" s="87">
        <f t="shared" si="531"/>
        <v>0</v>
      </c>
      <c r="BS242" s="77" t="str">
        <f t="shared" si="532"/>
        <v xml:space="preserve">   </v>
      </c>
      <c r="BT242" s="87">
        <f>IF($A242&gt;'Debt Service'!BR$58, 0, SUM(BR242:BR$242)*BS242*BR$63/BR$64+SUM(#REF!)*(BR$64-BR$63)/BR$64*BS242)</f>
        <v>0</v>
      </c>
      <c r="BU242" s="87"/>
      <c r="BV242" s="35">
        <f t="shared" si="565"/>
        <v>0</v>
      </c>
      <c r="BW242" s="35">
        <f t="shared" si="566"/>
        <v>0</v>
      </c>
      <c r="BX242" s="87"/>
      <c r="BY242" s="87">
        <f t="shared" si="533"/>
        <v>0</v>
      </c>
      <c r="BZ242" s="77" t="str">
        <f t="shared" si="534"/>
        <v xml:space="preserve">   </v>
      </c>
      <c r="CA242" s="87">
        <f>IF($A242&gt;'Debt Service'!BY$58, 0, SUM(BY242:BY$242)*BZ242*BY$63/BY$64+SUM(#REF!)*(BY$64-BY$63)/BY$64*BZ242)</f>
        <v>0</v>
      </c>
      <c r="CB242" s="87"/>
      <c r="CC242" s="87">
        <f t="shared" si="535"/>
        <v>0</v>
      </c>
      <c r="CD242" s="77" t="str">
        <f t="shared" si="536"/>
        <v xml:space="preserve">   </v>
      </c>
      <c r="CE242" s="87">
        <f>IF(OR($A242&gt;'Debt Service'!CC$58,$A242&lt;CC$51), 0, SUM(CC242:CC$242)*CD242*CC$63/CC$64+SUM(#REF!)*(CC$64-CC$63)/CC$64*CD242)</f>
        <v>0</v>
      </c>
      <c r="CF242" s="87"/>
      <c r="CG242" s="87">
        <f t="shared" si="537"/>
        <v>0</v>
      </c>
      <c r="CH242" s="77" t="str">
        <f t="shared" si="538"/>
        <v xml:space="preserve">   </v>
      </c>
      <c r="CI242" s="87">
        <f>IF(OR($A242&gt;'Debt Service'!CG$58,$A242&lt;CG$51), 0, SUM(CG242:CG$242)*CH242*CG$63/CG$64+SUM(#REF!)*(CG$64-CG$63)/CG$64*CH242)</f>
        <v>0</v>
      </c>
      <c r="CJ242" s="87"/>
      <c r="CK242" s="87">
        <f t="shared" si="539"/>
        <v>0</v>
      </c>
      <c r="CL242" s="77" t="str">
        <f t="shared" si="540"/>
        <v xml:space="preserve">   </v>
      </c>
      <c r="CM242" s="87">
        <f>IF(OR($A242&gt;'Debt Service'!CK$58,$A242&lt;CK$51), 0, SUM(CK242:CK$242)*CL242*CK$63/CK$64+SUM(#REF!)*(CK$64-CK$63)/CK$64*CL242)</f>
        <v>0</v>
      </c>
      <c r="CN242" s="87"/>
      <c r="CO242" s="162">
        <f t="shared" si="541"/>
        <v>0</v>
      </c>
      <c r="CP242" s="87">
        <f t="shared" si="542"/>
        <v>0</v>
      </c>
      <c r="CQ242" s="87"/>
      <c r="CR242" s="87">
        <f t="shared" si="543"/>
        <v>0</v>
      </c>
      <c r="CS242" s="77" t="str">
        <f t="shared" si="544"/>
        <v xml:space="preserve">   </v>
      </c>
      <c r="CT242" s="87">
        <f>IF(OR($A242&gt;'Debt Service'!CR$58,$A242&lt;CR$51), 0, SUM(CR242:CR$242)*CS242*CR$63/CR$64+SUM(#REF!)*(CR$64-CR$63)/CR$64*CS242)</f>
        <v>0</v>
      </c>
      <c r="CU242" s="87"/>
      <c r="CV242" s="87">
        <f t="shared" si="545"/>
        <v>0</v>
      </c>
      <c r="CW242" s="77" t="str">
        <f t="shared" si="546"/>
        <v xml:space="preserve">   </v>
      </c>
      <c r="CX242" s="87">
        <f>IF(OR($A242&gt;'Debt Service'!CV$58,$A242&lt;CV$51), 0, SUM(CV242:CV$242)*CW242*CV$63/CV$64+SUM(#REF!)*(CV$64-CV$63)/CV$64*CW242)</f>
        <v>0</v>
      </c>
      <c r="CY242" s="87"/>
      <c r="CZ242" s="165">
        <f t="shared" si="547"/>
        <v>0</v>
      </c>
      <c r="DA242" s="165">
        <f t="shared" si="548"/>
        <v>0</v>
      </c>
      <c r="DB242" s="87"/>
      <c r="DC242" s="87">
        <f t="shared" si="549"/>
        <v>0</v>
      </c>
      <c r="DD242" s="77" t="str">
        <f t="shared" si="550"/>
        <v xml:space="preserve">   </v>
      </c>
      <c r="DE242" s="87">
        <f>IF(OR($A242&gt;DC$191, $A242&lt;DC$51), 0, SUM(DC242:DC$242)*DD242*DC$63/DC$64+SUM(#REF!)*(DC$64-DC$63)/DC$64*DD242)</f>
        <v>0</v>
      </c>
      <c r="DF242" s="87"/>
      <c r="DG242" s="87">
        <f t="shared" si="551"/>
        <v>0</v>
      </c>
      <c r="DH242" s="77" t="str">
        <f t="shared" si="552"/>
        <v xml:space="preserve">   </v>
      </c>
      <c r="DI242" s="87">
        <f>IF(OR($A242&gt;DG$58, $A242&lt;DG$51), 0, SUM(DG242:DG$242)*DH242*DG$63/DG$64+SUM(#REF!)*(DG$64-DG$63)/DG$64*DH242)</f>
        <v>0</v>
      </c>
      <c r="DJ242" s="87"/>
      <c r="DK242" s="87">
        <f t="shared" si="553"/>
        <v>0</v>
      </c>
      <c r="DL242" s="77" t="str">
        <f t="shared" si="554"/>
        <v xml:space="preserve">   </v>
      </c>
      <c r="DM242" s="87">
        <f>IF(OR($A242&gt;DK$58, $A242&lt;DK$51), 0, SUM(DK242:DK$242)*DL242*DK$63/DK$64+SUM(DK$242:DK243)*(DK$64-DK$63)/DK$64*DL242)</f>
        <v>0</v>
      </c>
      <c r="DN242" s="87"/>
      <c r="DO242" s="87">
        <f t="shared" si="555"/>
        <v>0</v>
      </c>
      <c r="DP242" s="77" t="str">
        <f t="shared" si="556"/>
        <v xml:space="preserve">   </v>
      </c>
      <c r="DQ242" s="87">
        <f>IF(OR($A242&gt;DO$58, $A242&lt;DO$51), 0, SUM(DO242:DO$242)*DP242*DO$63/DO$64+SUM(#REF!)*(DO$64-DO$63)/DO$64*DP242)</f>
        <v>0</v>
      </c>
      <c r="DR242" s="87"/>
      <c r="DS242" s="87">
        <f t="shared" si="557"/>
        <v>0</v>
      </c>
      <c r="DT242" s="77" t="str">
        <f t="shared" si="558"/>
        <v xml:space="preserve">   </v>
      </c>
      <c r="DU242" s="87">
        <f>IF(OR($A242&gt;DS$58, $A242&lt;DS$51), 0, SUM(DS242:DS$242)*DT242*DS$63/DS$64+SUM(#REF!)*(DS$64-DS$63)/DS$64*DT242)</f>
        <v>0</v>
      </c>
      <c r="DV242" s="87"/>
      <c r="DW242" s="165">
        <f t="shared" si="571"/>
        <v>0</v>
      </c>
      <c r="DX242" s="165">
        <f t="shared" si="568"/>
        <v>0</v>
      </c>
      <c r="DY242" s="87"/>
      <c r="DZ242" s="53">
        <f t="shared" si="559"/>
        <v>2060</v>
      </c>
      <c r="EA242" s="35">
        <f t="shared" si="560"/>
        <v>0</v>
      </c>
      <c r="EB242" s="35">
        <f t="shared" si="561"/>
        <v>0</v>
      </c>
      <c r="EC242" s="35">
        <f t="shared" si="570"/>
        <v>0</v>
      </c>
      <c r="ED242" s="143">
        <f t="shared" si="569"/>
        <v>37</v>
      </c>
      <c r="EE242"/>
    </row>
    <row r="243" spans="1:135" s="6" customFormat="1" ht="7" outlineLevel="1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7"/>
      <c r="N243" s="97"/>
      <c r="O243" s="99"/>
      <c r="P243" s="99"/>
      <c r="Q243" s="98"/>
      <c r="S243" s="99"/>
      <c r="T243" s="99"/>
      <c r="U243" s="99"/>
      <c r="V243" s="99"/>
      <c r="W243" s="99"/>
      <c r="X243" s="99"/>
      <c r="Y243" s="99"/>
      <c r="Z243" s="100"/>
      <c r="AA243" s="100"/>
      <c r="AB243" s="99"/>
      <c r="AC243" s="101"/>
      <c r="AD243" s="100"/>
      <c r="AE243" s="99"/>
      <c r="AF243" s="99"/>
      <c r="AG243" s="96"/>
      <c r="AH243" s="96"/>
      <c r="AI243" s="99"/>
      <c r="AJ243" s="99"/>
      <c r="AK243" s="102"/>
      <c r="AL243" s="98"/>
      <c r="AM243" s="99"/>
      <c r="AN243" s="99"/>
      <c r="AO243" s="96"/>
      <c r="AP243" s="98"/>
      <c r="AQ243" s="99"/>
      <c r="AR243" s="99"/>
      <c r="AS243" s="96"/>
      <c r="AT243" s="98"/>
      <c r="AV243" s="99"/>
      <c r="AW243" s="99"/>
      <c r="AX243" s="99"/>
      <c r="AY243" s="99"/>
      <c r="AZ243" s="103"/>
      <c r="BA243" s="103"/>
      <c r="BB243" s="103"/>
      <c r="BC243" s="99"/>
      <c r="BD243" s="102"/>
      <c r="BE243" s="103"/>
      <c r="BF243" s="103"/>
      <c r="BG243" s="99"/>
      <c r="BH243" s="102"/>
      <c r="BI243" s="103"/>
      <c r="BJ243" s="103"/>
      <c r="BK243" s="99"/>
      <c r="BL243" s="99"/>
      <c r="BM243" s="96"/>
      <c r="BN243" s="99"/>
      <c r="BO243" s="102"/>
      <c r="BP243" s="100"/>
      <c r="BQ243" s="102"/>
      <c r="BR243" s="99"/>
      <c r="BS243" s="102"/>
      <c r="BT243" s="100"/>
      <c r="BU243" s="100"/>
      <c r="BV243" s="99"/>
      <c r="BW243" s="99"/>
      <c r="BX243" s="100"/>
      <c r="BY243" s="99"/>
      <c r="BZ243" s="102"/>
      <c r="CA243" s="100"/>
      <c r="CB243" s="100"/>
      <c r="CC243" s="99"/>
      <c r="CD243" s="102"/>
      <c r="CE243" s="100"/>
      <c r="CF243" s="100"/>
      <c r="CG243" s="99"/>
      <c r="CH243" s="102"/>
      <c r="CI243" s="100"/>
      <c r="CJ243" s="100"/>
      <c r="CK243" s="99"/>
      <c r="CL243" s="102"/>
      <c r="CM243" s="100"/>
      <c r="CN243" s="100"/>
      <c r="CO243" s="100"/>
      <c r="CP243" s="100"/>
      <c r="CQ243" s="100"/>
      <c r="CR243" s="99"/>
      <c r="CS243" s="102"/>
      <c r="CT243" s="100"/>
      <c r="CU243" s="100"/>
      <c r="CV243" s="99"/>
      <c r="CW243" s="102"/>
      <c r="CX243" s="100"/>
      <c r="CY243" s="100"/>
      <c r="CZ243" s="100"/>
      <c r="DA243" s="100"/>
      <c r="DB243" s="100"/>
      <c r="DC243" s="99"/>
      <c r="DD243" s="102"/>
      <c r="DE243" s="100"/>
      <c r="DF243" s="100"/>
      <c r="DG243" s="99"/>
      <c r="DH243" s="102"/>
      <c r="DI243" s="100"/>
      <c r="DJ243" s="100"/>
      <c r="DK243" s="99"/>
      <c r="DL243" s="102"/>
      <c r="DM243" s="100"/>
      <c r="DN243" s="100"/>
      <c r="DO243" s="99"/>
      <c r="DP243" s="102"/>
      <c r="DQ243" s="100"/>
      <c r="DR243" s="100"/>
      <c r="DS243" s="99"/>
      <c r="DT243" s="102"/>
      <c r="DU243" s="100"/>
      <c r="DV243" s="100"/>
      <c r="DW243" s="100"/>
      <c r="DX243" s="100"/>
      <c r="DY243" s="100"/>
      <c r="DZ243" s="99"/>
      <c r="EA243" s="104"/>
      <c r="EB243" s="104"/>
      <c r="EC243" s="99"/>
    </row>
    <row r="244" spans="1:135" s="33" customFormat="1" ht="16" outlineLevel="1">
      <c r="A244" s="38" t="s">
        <v>7</v>
      </c>
      <c r="B244" s="38"/>
      <c r="C244" s="8"/>
      <c r="D244" s="8"/>
      <c r="E244" s="8"/>
      <c r="F244" s="8"/>
      <c r="G244" s="8"/>
      <c r="H244" s="8"/>
      <c r="I244" s="8"/>
      <c r="J244" s="8"/>
      <c r="K244" s="8"/>
      <c r="L244" s="38"/>
      <c r="M244" s="88">
        <f>SUM(M206:M235)</f>
        <v>681500</v>
      </c>
      <c r="N244" s="88"/>
      <c r="O244" s="88">
        <f>SUM(O206:O235)</f>
        <v>142024.6</v>
      </c>
      <c r="P244" s="88"/>
      <c r="Q244" s="88">
        <f>SUM(Q206:Q235)</f>
        <v>1000000</v>
      </c>
      <c r="S244" s="88">
        <f>SUM(S206:S235)</f>
        <v>208400.00000000003</v>
      </c>
      <c r="T244" s="88"/>
      <c r="U244" s="88">
        <f>SUM(U206:U235)</f>
        <v>1681500</v>
      </c>
      <c r="V244" s="88">
        <f>SUM(V206:V235)</f>
        <v>350424.60000000003</v>
      </c>
      <c r="W244" s="88"/>
      <c r="X244" s="88">
        <f>SUM(X206:X235)</f>
        <v>21953500</v>
      </c>
      <c r="Y244" s="88"/>
      <c r="Z244" s="88">
        <f>SUM(Z206:Z235)</f>
        <v>5631072.75</v>
      </c>
      <c r="AA244" s="88"/>
      <c r="AB244" s="88">
        <f>SUM(AB206:AB235)</f>
        <v>12500000</v>
      </c>
      <c r="AC244" s="88"/>
      <c r="AD244" s="88">
        <f>SUM(AD206:AD235)</f>
        <v>5253750.0000000009</v>
      </c>
      <c r="AE244" s="88"/>
      <c r="AF244" s="88">
        <f>SUM(AF206:AF235)</f>
        <v>656000</v>
      </c>
      <c r="AG244" s="88"/>
      <c r="AH244" s="88">
        <f>SUM(AH206:AH235)</f>
        <v>380808.00000000006</v>
      </c>
      <c r="AI244" s="88"/>
      <c r="AJ244" s="88">
        <f>SUM(AJ206:AJ235)</f>
        <v>3140000</v>
      </c>
      <c r="AK244" s="88"/>
      <c r="AL244" s="88">
        <f>SUM(AL206:AL235)</f>
        <v>2497870</v>
      </c>
      <c r="AM244" s="88"/>
      <c r="AN244" s="88">
        <f>SUM(AN206:AN235)</f>
        <v>0</v>
      </c>
      <c r="AO244" s="88"/>
      <c r="AP244" s="88">
        <f>SUM(AP206:AP235)</f>
        <v>0</v>
      </c>
      <c r="AQ244" s="88"/>
      <c r="AR244" s="88">
        <f>SUM(AR206:AR235)</f>
        <v>2972000</v>
      </c>
      <c r="AS244" s="88"/>
      <c r="AT244" s="88">
        <f>SUM(AT206:AT235)</f>
        <v>1725246.0000000002</v>
      </c>
      <c r="AV244" s="88">
        <f>SUM(AV206:AV235)</f>
        <v>6768000</v>
      </c>
      <c r="AW244" s="88">
        <f>SUM(AW206:AW235)</f>
        <v>4603924</v>
      </c>
      <c r="AX244" s="88"/>
      <c r="AY244" s="89">
        <f>SUM(AY206:AY242)</f>
        <v>561000</v>
      </c>
      <c r="AZ244" s="89"/>
      <c r="BA244" s="89">
        <f>SUM(BA206:BA242)</f>
        <v>342210</v>
      </c>
      <c r="BB244" s="89"/>
      <c r="BC244" s="89">
        <f>SUM(BC206:BC242)</f>
        <v>1599000</v>
      </c>
      <c r="BD244" s="88"/>
      <c r="BE244" s="89">
        <f>SUM(BE206:BE242)</f>
        <v>2414090.25</v>
      </c>
      <c r="BF244" s="89"/>
      <c r="BG244" s="89">
        <f>SUM(BG206:BG242)</f>
        <v>4083000</v>
      </c>
      <c r="BH244" s="88"/>
      <c r="BI244" s="89">
        <f>SUM(BI206:BI242)</f>
        <v>6164309.25</v>
      </c>
      <c r="BJ244" s="89"/>
      <c r="BK244" s="88">
        <f>SUM(BK206:BK242)</f>
        <v>6243000</v>
      </c>
      <c r="BL244" s="88">
        <f>SUM(BL206:BL242)</f>
        <v>8920609.5</v>
      </c>
      <c r="BM244" s="39"/>
      <c r="BN244" s="88">
        <f>SUM(BN206:BN242)</f>
        <v>1992000</v>
      </c>
      <c r="BO244" s="39"/>
      <c r="BP244" s="88">
        <f>SUM(BP206:BP242)</f>
        <v>113145.59999999999</v>
      </c>
      <c r="BQ244" s="39"/>
      <c r="BR244" s="88">
        <f>SUM(BR206:BR242)</f>
        <v>3428000</v>
      </c>
      <c r="BS244" s="39"/>
      <c r="BT244" s="88">
        <f>SUM(BT206:BT242)</f>
        <v>6214506.9333333354</v>
      </c>
      <c r="BU244" s="88"/>
      <c r="BV244" s="88">
        <f>SUM(BV206:BV242)</f>
        <v>5420000</v>
      </c>
      <c r="BW244" s="88">
        <f>SUM(BW206:BW242)</f>
        <v>6327652.533333336</v>
      </c>
      <c r="BX244" s="88"/>
      <c r="BY244" s="88">
        <f>SUM(BY206:BY242)</f>
        <v>1872000</v>
      </c>
      <c r="BZ244" s="39"/>
      <c r="CA244" s="88">
        <f>SUM(CA206:CA242)</f>
        <v>637977.59999999998</v>
      </c>
      <c r="CB244" s="88"/>
      <c r="CC244" s="88">
        <f>SUM(CC206:CC242)</f>
        <v>310000</v>
      </c>
      <c r="CD244" s="39"/>
      <c r="CE244" s="88">
        <f>SUM(CE206:CE242)</f>
        <v>114452</v>
      </c>
      <c r="CF244" s="88"/>
      <c r="CG244" s="88">
        <f>SUM(CG206:CG242)</f>
        <v>3177000</v>
      </c>
      <c r="CH244" s="39"/>
      <c r="CI244" s="88">
        <f>SUM(CI206:CI242)</f>
        <v>6000082.1999999983</v>
      </c>
      <c r="CJ244" s="88"/>
      <c r="CK244" s="88">
        <f>SUM(CK206:CK242)</f>
        <v>3247000</v>
      </c>
      <c r="CL244" s="39"/>
      <c r="CM244" s="88">
        <f>SUM(CM206:CM242)</f>
        <v>6585727.75</v>
      </c>
      <c r="CN244" s="88"/>
      <c r="CO244" s="88">
        <f>SUM(CO206:CO242)</f>
        <v>6734000</v>
      </c>
      <c r="CP244" s="88">
        <f>SUM(CP206:CP242)</f>
        <v>12700261.949999994</v>
      </c>
      <c r="CQ244" s="88"/>
      <c r="CR244" s="88">
        <f>SUM(CR206:CR242)</f>
        <v>1008000</v>
      </c>
      <c r="CS244" s="39"/>
      <c r="CT244" s="88">
        <f>SUM(CT206:CT242)</f>
        <v>338184</v>
      </c>
      <c r="CU244" s="88"/>
      <c r="CV244" s="88">
        <f>SUM(CV206:CV242)</f>
        <v>3379000</v>
      </c>
      <c r="CW244" s="39"/>
      <c r="CX244" s="88">
        <f>SUM(CX206:CX242)</f>
        <v>5822861.75</v>
      </c>
      <c r="CY244" s="88"/>
      <c r="CZ244" s="88">
        <f>SUM(CZ206:CZ242)</f>
        <v>4387000</v>
      </c>
      <c r="DA244" s="88">
        <f>SUM(DA206:DA242)</f>
        <v>6161045.75</v>
      </c>
      <c r="DB244" s="88"/>
      <c r="DC244" s="88">
        <f>SUM(DC206:DC242)</f>
        <v>7464000</v>
      </c>
      <c r="DD244" s="39"/>
      <c r="DE244" s="88">
        <f>SUM(DE206:DE242)</f>
        <v>4780692</v>
      </c>
      <c r="DF244" s="88"/>
      <c r="DG244" s="88">
        <f>SUM(DG206:DG242)</f>
        <v>0</v>
      </c>
      <c r="DH244" s="39"/>
      <c r="DI244" s="88">
        <f>SUM(DI206:DI242)</f>
        <v>0</v>
      </c>
      <c r="DJ244" s="88"/>
      <c r="DK244" s="88">
        <f>SUM(DK206:DK242)</f>
        <v>0</v>
      </c>
      <c r="DL244" s="39"/>
      <c r="DM244" s="88">
        <f>SUM(DM206:DM242)</f>
        <v>0</v>
      </c>
      <c r="DN244" s="88"/>
      <c r="DO244" s="88">
        <f>SUM(DO206:DO242)</f>
        <v>0</v>
      </c>
      <c r="DP244" s="39"/>
      <c r="DQ244" s="88">
        <f>SUM(DQ206:DQ242)</f>
        <v>0</v>
      </c>
      <c r="DR244" s="88"/>
      <c r="DS244" s="88">
        <f>SUM(DS206:DS242)</f>
        <v>0</v>
      </c>
      <c r="DT244" s="39"/>
      <c r="DU244" s="88">
        <f>SUM(DU206:DU242)</f>
        <v>0</v>
      </c>
      <c r="DV244" s="88"/>
      <c r="DW244" s="88">
        <f>SUM(DW206:DW243)</f>
        <v>38888000</v>
      </c>
      <c r="DX244" s="88">
        <f>SUM(DX206:DX243)</f>
        <v>44132163.333333328</v>
      </c>
      <c r="DY244" s="88"/>
      <c r="DZ244" s="39"/>
      <c r="EA244" s="39">
        <f>SUM(EA206:EA243)</f>
        <v>75023000</v>
      </c>
      <c r="EB244" s="39">
        <f>SUM(EB206:EB242)</f>
        <v>55367410.683333337</v>
      </c>
      <c r="EC244" s="39"/>
    </row>
    <row r="245" spans="1:135" outlineLevel="1"/>
    <row r="246" spans="1:135" outlineLevel="1"/>
    <row r="247" spans="1:135" outlineLevel="1"/>
    <row r="248" spans="1:135" outlineLevel="1">
      <c r="A248" s="234" t="s">
        <v>136</v>
      </c>
      <c r="B248" s="234"/>
      <c r="C248" s="234"/>
      <c r="D248" s="234"/>
      <c r="E248" s="234"/>
      <c r="F248" s="234"/>
      <c r="G248" s="234"/>
      <c r="H248" s="234"/>
      <c r="I248" s="234"/>
      <c r="J248" s="234"/>
      <c r="K248" s="234"/>
      <c r="L248" s="234"/>
      <c r="M248" s="19" t="s">
        <v>16</v>
      </c>
      <c r="N248" s="19"/>
      <c r="O248" s="19"/>
      <c r="P248" s="19"/>
      <c r="Q248" s="19" t="s">
        <v>16</v>
      </c>
      <c r="X248" s="19" t="s">
        <v>16</v>
      </c>
      <c r="AB248" s="19" t="s">
        <v>16</v>
      </c>
      <c r="AF248" s="19" t="s">
        <v>16</v>
      </c>
      <c r="AJ248" s="19" t="s">
        <v>16</v>
      </c>
      <c r="AN248" s="19" t="s">
        <v>16</v>
      </c>
      <c r="AR248" s="19" t="s">
        <v>16</v>
      </c>
      <c r="AY248" s="19" t="s">
        <v>16</v>
      </c>
      <c r="BC248" s="19" t="s">
        <v>16</v>
      </c>
      <c r="BG248" s="19" t="s">
        <v>16</v>
      </c>
      <c r="BN248" s="19" t="s">
        <v>16</v>
      </c>
      <c r="BR248" s="19" t="s">
        <v>16</v>
      </c>
      <c r="BV248" s="19"/>
      <c r="BY248" s="19" t="s">
        <v>16</v>
      </c>
      <c r="CC248" s="19" t="s">
        <v>16</v>
      </c>
      <c r="CG248" s="19" t="s">
        <v>16</v>
      </c>
      <c r="CK248" s="19" t="s">
        <v>16</v>
      </c>
      <c r="CR248" s="19" t="s">
        <v>16</v>
      </c>
      <c r="CV248" s="19" t="s">
        <v>16</v>
      </c>
      <c r="DC248" s="19" t="s">
        <v>16</v>
      </c>
      <c r="DG248" s="19" t="s">
        <v>16</v>
      </c>
      <c r="DK248" s="19" t="s">
        <v>16</v>
      </c>
      <c r="DO248" s="19" t="s">
        <v>16</v>
      </c>
      <c r="DS248" s="19" t="s">
        <v>16</v>
      </c>
    </row>
    <row r="249" spans="1:135" outlineLevel="1">
      <c r="A249" s="234" t="s">
        <v>113</v>
      </c>
      <c r="B249" s="234"/>
      <c r="C249" s="234"/>
      <c r="D249" s="234"/>
      <c r="E249" s="234"/>
      <c r="F249" s="234"/>
      <c r="G249" s="234"/>
      <c r="H249" s="234"/>
      <c r="I249" s="234"/>
      <c r="J249" s="234"/>
      <c r="K249" s="234"/>
      <c r="L249" s="234"/>
      <c r="M249" s="19">
        <v>1</v>
      </c>
      <c r="N249" s="19"/>
      <c r="O249" s="19"/>
      <c r="P249" s="19"/>
      <c r="Q249" s="19">
        <v>1</v>
      </c>
      <c r="X249" s="19">
        <v>1</v>
      </c>
      <c r="AB249" s="19">
        <v>1</v>
      </c>
      <c r="AF249" s="19">
        <v>1</v>
      </c>
      <c r="AJ249" s="19">
        <v>1</v>
      </c>
      <c r="AN249" s="19">
        <v>1</v>
      </c>
      <c r="AR249" s="19">
        <v>1</v>
      </c>
      <c r="AY249" s="19">
        <v>1</v>
      </c>
      <c r="BC249" s="19">
        <v>1</v>
      </c>
      <c r="BG249" s="19">
        <v>1</v>
      </c>
      <c r="BN249" s="19">
        <v>1</v>
      </c>
      <c r="BR249" s="19">
        <v>1</v>
      </c>
      <c r="BV249" s="19"/>
      <c r="BY249" s="19">
        <v>1</v>
      </c>
      <c r="CC249" s="19">
        <v>1</v>
      </c>
      <c r="CG249" s="19">
        <v>1</v>
      </c>
      <c r="CK249" s="19">
        <v>1</v>
      </c>
      <c r="CR249" s="19">
        <v>1</v>
      </c>
      <c r="CV249" s="19">
        <v>1</v>
      </c>
      <c r="DC249" s="19">
        <v>1</v>
      </c>
      <c r="DG249" s="19">
        <v>1</v>
      </c>
      <c r="DK249" s="19">
        <v>1</v>
      </c>
      <c r="DO249" s="19">
        <v>1</v>
      </c>
      <c r="DS249" s="19">
        <v>1</v>
      </c>
    </row>
    <row r="250" spans="1:135" outlineLevel="1">
      <c r="A250" s="234" t="s">
        <v>96</v>
      </c>
      <c r="B250" s="234"/>
      <c r="C250" s="234"/>
      <c r="D250" s="234"/>
      <c r="E250" s="234"/>
      <c r="F250" s="234"/>
      <c r="G250" s="234"/>
      <c r="H250" s="234"/>
      <c r="I250" s="234"/>
      <c r="J250" s="234"/>
      <c r="K250" s="234"/>
      <c r="L250" s="234"/>
      <c r="M250" s="19">
        <v>1.7100000000000001E-2</v>
      </c>
      <c r="N250" s="19"/>
      <c r="O250" s="19"/>
      <c r="P250" s="19"/>
      <c r="Q250" s="19">
        <v>1.7100000000000001E-2</v>
      </c>
      <c r="X250" s="19">
        <v>1.6299999999999999E-2</v>
      </c>
      <c r="AB250" s="19">
        <v>1.17E-2</v>
      </c>
      <c r="AF250" s="19">
        <v>8.0000000000000002E-3</v>
      </c>
      <c r="AJ250" s="19">
        <v>8.0000000000000002E-3</v>
      </c>
      <c r="AN250" s="19">
        <v>8.0000000000000002E-3</v>
      </c>
      <c r="AR250" s="19">
        <v>8.0000000000000002E-3</v>
      </c>
      <c r="AY250" s="19">
        <v>8.0000000000000002E-3</v>
      </c>
      <c r="BC250" s="19">
        <v>8.0000000000000002E-3</v>
      </c>
      <c r="BG250" s="19">
        <v>8.0000000000000002E-3</v>
      </c>
      <c r="BN250" s="19">
        <v>3.8E-3</v>
      </c>
      <c r="BR250" s="19">
        <v>3.8E-3</v>
      </c>
      <c r="BV250" s="19"/>
      <c r="BY250" s="19">
        <v>3.8E-3</v>
      </c>
      <c r="CC250" s="19">
        <v>3.8E-3</v>
      </c>
      <c r="CG250" s="19">
        <v>3.8E-3</v>
      </c>
      <c r="CK250" s="19">
        <v>8.0000000000000002E-3</v>
      </c>
      <c r="CR250" s="19">
        <v>8.0000000000000002E-3</v>
      </c>
      <c r="CV250" s="19">
        <v>8.0000000000000002E-3</v>
      </c>
      <c r="DC250" s="19">
        <v>8.0000000000000002E-3</v>
      </c>
      <c r="DG250" s="19">
        <v>8.0000000000000002E-3</v>
      </c>
      <c r="DK250" s="19">
        <v>8.0000000000000002E-3</v>
      </c>
      <c r="DO250" s="19">
        <v>8.0000000000000002E-3</v>
      </c>
      <c r="DS250" s="19">
        <v>8.0000000000000002E-3</v>
      </c>
    </row>
    <row r="252" spans="1:135" ht="14">
      <c r="A252" s="261" t="s">
        <v>103</v>
      </c>
      <c r="B252" s="261"/>
      <c r="C252" s="261"/>
      <c r="D252" s="261"/>
      <c r="E252" s="261"/>
      <c r="F252" s="261"/>
      <c r="G252" s="261"/>
      <c r="H252" s="261"/>
      <c r="I252" s="261"/>
      <c r="J252" s="261"/>
      <c r="K252" s="261"/>
      <c r="L252" s="261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  <c r="AB252" s="177"/>
      <c r="AC252" s="177"/>
      <c r="AD252" s="177"/>
      <c r="AE252" s="177"/>
      <c r="AF252" s="177"/>
      <c r="AG252" s="177"/>
      <c r="AH252" s="177"/>
      <c r="AI252" s="177"/>
      <c r="AJ252" s="177"/>
      <c r="AK252" s="177"/>
      <c r="AL252" s="177"/>
      <c r="AM252" s="177"/>
      <c r="AN252" s="177"/>
      <c r="AO252" s="177"/>
      <c r="AP252" s="177"/>
      <c r="AQ252" s="177"/>
      <c r="AR252" s="177"/>
      <c r="AS252" s="177"/>
      <c r="AT252" s="177"/>
      <c r="AU252" s="177"/>
      <c r="AV252" s="177"/>
      <c r="AW252" s="177"/>
      <c r="AX252" s="177"/>
      <c r="AY252" s="177"/>
      <c r="AZ252" s="177"/>
      <c r="BA252" s="177"/>
      <c r="BB252" s="177"/>
      <c r="BC252" s="177"/>
      <c r="BD252" s="177"/>
      <c r="BE252" s="177"/>
      <c r="BF252" s="177"/>
      <c r="BG252" s="177"/>
      <c r="BH252" s="177"/>
      <c r="BI252" s="177"/>
      <c r="BJ252" s="177"/>
      <c r="BK252" s="177"/>
      <c r="BL252" s="177"/>
      <c r="BM252" s="177"/>
      <c r="BN252" s="177"/>
      <c r="BO252" s="177"/>
      <c r="BP252" s="177"/>
      <c r="BQ252" s="177"/>
      <c r="BR252" s="177"/>
      <c r="BS252" s="177"/>
      <c r="BT252" s="177"/>
      <c r="BU252" s="177"/>
      <c r="BV252" s="177"/>
      <c r="BW252" s="177"/>
      <c r="BX252" s="177"/>
      <c r="BY252" s="177"/>
      <c r="BZ252" s="177"/>
      <c r="CA252" s="177"/>
      <c r="CB252" s="177"/>
      <c r="CC252" s="177"/>
      <c r="CD252" s="177"/>
      <c r="CE252" s="177"/>
      <c r="CF252" s="177"/>
      <c r="CG252" s="177"/>
      <c r="CH252" s="177"/>
      <c r="CI252" s="177"/>
      <c r="CJ252" s="177"/>
      <c r="CK252" s="177"/>
      <c r="CL252" s="177"/>
      <c r="CM252" s="177"/>
      <c r="CN252" s="177"/>
      <c r="CO252" s="177"/>
      <c r="CP252" s="177"/>
      <c r="CQ252" s="177"/>
      <c r="CR252" s="177"/>
      <c r="CS252" s="177"/>
      <c r="CT252" s="177"/>
      <c r="CU252" s="177"/>
      <c r="CV252" s="177"/>
      <c r="CW252" s="177"/>
      <c r="CX252" s="177"/>
      <c r="CY252" s="177"/>
      <c r="CZ252" s="177"/>
      <c r="DA252" s="177"/>
      <c r="DB252" s="177"/>
      <c r="DC252" s="177"/>
      <c r="DD252" s="177"/>
      <c r="DE252" s="177"/>
      <c r="DF252" s="177"/>
      <c r="DG252" s="177"/>
      <c r="DH252" s="177"/>
      <c r="DI252" s="177"/>
      <c r="DJ252" s="177"/>
      <c r="DK252" s="177"/>
      <c r="DL252" s="177"/>
      <c r="DM252" s="177"/>
      <c r="DN252" s="177"/>
      <c r="DO252" s="177"/>
      <c r="DP252" s="177"/>
      <c r="DQ252" s="177"/>
      <c r="DR252" s="177"/>
      <c r="DS252" s="177"/>
      <c r="DT252" s="177"/>
      <c r="DU252" s="177"/>
      <c r="DV252" s="177"/>
      <c r="DW252" s="177"/>
      <c r="DX252" s="177"/>
      <c r="DY252" s="177"/>
      <c r="DZ252" s="177"/>
      <c r="EA252" s="177"/>
      <c r="EB252" s="177"/>
      <c r="EC252" s="177"/>
    </row>
    <row r="253" spans="1:135" ht="14">
      <c r="A253" s="261" t="s">
        <v>184</v>
      </c>
      <c r="B253" s="261"/>
      <c r="C253" s="261"/>
      <c r="D253" s="261"/>
      <c r="E253" s="261"/>
      <c r="F253" s="261"/>
      <c r="G253" s="261"/>
      <c r="H253" s="261"/>
      <c r="I253" s="261"/>
      <c r="J253" s="261"/>
      <c r="K253" s="261"/>
      <c r="L253" s="261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  <c r="AB253" s="177"/>
      <c r="AC253" s="177"/>
      <c r="AD253" s="177"/>
      <c r="AE253" s="177"/>
      <c r="AF253" s="177"/>
      <c r="AG253" s="177"/>
      <c r="AH253" s="177"/>
      <c r="AI253" s="177"/>
      <c r="AJ253" s="177"/>
      <c r="AK253" s="177"/>
      <c r="AL253" s="177"/>
      <c r="AM253" s="177"/>
      <c r="AN253" s="177"/>
      <c r="AO253" s="177"/>
      <c r="AP253" s="177"/>
      <c r="AQ253" s="177"/>
      <c r="AR253" s="177"/>
      <c r="AS253" s="177"/>
      <c r="AT253" s="177"/>
      <c r="AU253" s="177"/>
      <c r="AV253" s="177"/>
      <c r="AW253" s="177"/>
      <c r="AX253" s="177"/>
      <c r="AY253" s="177"/>
      <c r="AZ253" s="177"/>
      <c r="BA253" s="177"/>
      <c r="BB253" s="177"/>
      <c r="BC253" s="177"/>
      <c r="BD253" s="177"/>
      <c r="BE253" s="177"/>
      <c r="BF253" s="177"/>
      <c r="BG253" s="177"/>
      <c r="BH253" s="177"/>
      <c r="BI253" s="177"/>
      <c r="BJ253" s="177"/>
      <c r="BK253" s="177"/>
      <c r="BL253" s="177"/>
      <c r="BM253" s="177"/>
      <c r="BN253" s="177"/>
      <c r="BO253" s="177"/>
      <c r="BP253" s="177"/>
      <c r="BQ253" s="177"/>
      <c r="BR253" s="177"/>
      <c r="BS253" s="177"/>
      <c r="BT253" s="177"/>
      <c r="BU253" s="177"/>
      <c r="BV253" s="177"/>
      <c r="BW253" s="177"/>
      <c r="BX253" s="177"/>
      <c r="BY253" s="177"/>
      <c r="BZ253" s="177"/>
      <c r="CA253" s="177"/>
      <c r="CB253" s="177"/>
      <c r="CC253" s="177"/>
      <c r="CD253" s="177"/>
      <c r="CE253" s="177"/>
      <c r="CF253" s="177"/>
      <c r="CG253" s="177"/>
      <c r="CH253" s="177"/>
      <c r="CI253" s="177"/>
      <c r="CJ253" s="177"/>
      <c r="CK253" s="177"/>
      <c r="CL253" s="177"/>
      <c r="CM253" s="177"/>
      <c r="CN253" s="177"/>
      <c r="CO253" s="177"/>
      <c r="CP253" s="177"/>
      <c r="CQ253" s="177"/>
      <c r="CR253" s="177"/>
      <c r="CS253" s="177"/>
      <c r="CT253" s="177"/>
      <c r="CU253" s="177"/>
      <c r="CV253" s="177"/>
      <c r="CW253" s="177"/>
      <c r="CX253" s="177"/>
      <c r="CY253" s="177"/>
      <c r="CZ253" s="177"/>
      <c r="DA253" s="177"/>
      <c r="DB253" s="177"/>
      <c r="DC253" s="177"/>
      <c r="DD253" s="177"/>
      <c r="DE253" s="177"/>
      <c r="DF253" s="177"/>
      <c r="DG253" s="177"/>
      <c r="DH253" s="177"/>
      <c r="DI253" s="177"/>
      <c r="DJ253" s="177"/>
      <c r="DK253" s="177"/>
      <c r="DL253" s="177"/>
      <c r="DM253" s="177"/>
      <c r="DN253" s="177"/>
      <c r="DO253" s="177"/>
      <c r="DP253" s="177"/>
      <c r="DQ253" s="177"/>
      <c r="DR253" s="177"/>
      <c r="DS253" s="177"/>
      <c r="DT253" s="177"/>
      <c r="DU253" s="177"/>
      <c r="DV253" s="177"/>
      <c r="DW253" s="177"/>
      <c r="DX253" s="177"/>
      <c r="DY253" s="177"/>
      <c r="DZ253" s="177"/>
      <c r="EA253" s="177"/>
      <c r="EB253" s="177"/>
      <c r="EC253" s="177"/>
    </row>
    <row r="254" spans="1:135" outlineLevel="1">
      <c r="A254" s="173">
        <f>1</f>
        <v>1</v>
      </c>
      <c r="B254" s="173">
        <f t="shared" ref="B254" si="572">A254+1</f>
        <v>2</v>
      </c>
      <c r="C254" s="173">
        <f t="shared" ref="C254" si="573">B254+1</f>
        <v>3</v>
      </c>
      <c r="D254" s="173">
        <f t="shared" ref="D254" si="574">C254+1</f>
        <v>4</v>
      </c>
      <c r="E254" s="173">
        <f t="shared" ref="E254" si="575">D254+1</f>
        <v>5</v>
      </c>
      <c r="F254" s="173">
        <f t="shared" ref="F254" si="576">E254+1</f>
        <v>6</v>
      </c>
      <c r="G254" s="173">
        <f t="shared" ref="G254" si="577">F254+1</f>
        <v>7</v>
      </c>
      <c r="H254" s="173">
        <f t="shared" ref="H254" si="578">G254+1</f>
        <v>8</v>
      </c>
      <c r="I254" s="173">
        <f t="shared" ref="I254" si="579">H254+1</f>
        <v>9</v>
      </c>
      <c r="J254" s="173">
        <f t="shared" ref="J254" si="580">I254+1</f>
        <v>10</v>
      </c>
      <c r="K254" s="173">
        <f t="shared" ref="K254" si="581">J254+1</f>
        <v>11</v>
      </c>
      <c r="L254" s="173">
        <f t="shared" ref="L254" si="582">K254+1</f>
        <v>12</v>
      </c>
      <c r="M254" s="173">
        <f t="shared" ref="M254" si="583">L254+1</f>
        <v>13</v>
      </c>
      <c r="N254" s="173">
        <f t="shared" ref="N254" si="584">M254+1</f>
        <v>14</v>
      </c>
      <c r="O254" s="173">
        <f t="shared" ref="O254" si="585">N254+1</f>
        <v>15</v>
      </c>
      <c r="P254" s="173">
        <f t="shared" ref="P254" si="586">O254+1</f>
        <v>16</v>
      </c>
      <c r="Q254" s="173">
        <f t="shared" ref="Q254" si="587">P254+1</f>
        <v>17</v>
      </c>
      <c r="R254" s="173">
        <f t="shared" ref="R254" si="588">Q254+1</f>
        <v>18</v>
      </c>
      <c r="S254" s="173">
        <f t="shared" ref="S254" si="589">R254+1</f>
        <v>19</v>
      </c>
      <c r="T254" s="173">
        <f t="shared" ref="T254" si="590">S254+1</f>
        <v>20</v>
      </c>
      <c r="U254" s="173">
        <f t="shared" ref="U254" si="591">T254+1</f>
        <v>21</v>
      </c>
      <c r="V254" s="173">
        <f t="shared" ref="V254" si="592">U254+1</f>
        <v>22</v>
      </c>
      <c r="W254" s="173">
        <f t="shared" ref="W254" si="593">V254+1</f>
        <v>23</v>
      </c>
      <c r="X254" s="173">
        <f t="shared" ref="X254" si="594">W254+1</f>
        <v>24</v>
      </c>
      <c r="Y254" s="173">
        <f t="shared" ref="Y254" si="595">X254+1</f>
        <v>25</v>
      </c>
      <c r="Z254" s="173">
        <f t="shared" ref="Z254" si="596">Y254+1</f>
        <v>26</v>
      </c>
      <c r="AA254" s="173">
        <f t="shared" ref="AA254" si="597">Z254+1</f>
        <v>27</v>
      </c>
      <c r="AB254" s="173">
        <f t="shared" ref="AB254" si="598">AA254+1</f>
        <v>28</v>
      </c>
      <c r="AC254" s="173">
        <f t="shared" ref="AC254" si="599">AB254+1</f>
        <v>29</v>
      </c>
      <c r="AD254" s="173">
        <f t="shared" ref="AD254" si="600">AC254+1</f>
        <v>30</v>
      </c>
      <c r="AE254" s="173">
        <f t="shared" ref="AE254" si="601">AD254+1</f>
        <v>31</v>
      </c>
      <c r="AF254" s="173">
        <f t="shared" ref="AF254" si="602">AE254+1</f>
        <v>32</v>
      </c>
      <c r="AG254" s="173">
        <f t="shared" ref="AG254" si="603">AF254+1</f>
        <v>33</v>
      </c>
      <c r="AH254" s="173">
        <f t="shared" ref="AH254" si="604">AG254+1</f>
        <v>34</v>
      </c>
      <c r="AI254" s="173">
        <f t="shared" ref="AI254" si="605">AH254+1</f>
        <v>35</v>
      </c>
      <c r="AJ254" s="173">
        <f t="shared" ref="AJ254" si="606">AI254+1</f>
        <v>36</v>
      </c>
      <c r="AK254" s="173">
        <f t="shared" ref="AK254" si="607">AJ254+1</f>
        <v>37</v>
      </c>
      <c r="AL254" s="173">
        <f t="shared" ref="AL254" si="608">AK254+1</f>
        <v>38</v>
      </c>
      <c r="AM254" s="173">
        <f t="shared" ref="AM254" si="609">AL254+1</f>
        <v>39</v>
      </c>
      <c r="AN254" s="173">
        <f t="shared" ref="AN254" si="610">AM254+1</f>
        <v>40</v>
      </c>
      <c r="AO254" s="173">
        <f t="shared" ref="AO254" si="611">AN254+1</f>
        <v>41</v>
      </c>
      <c r="AP254" s="173">
        <f t="shared" ref="AP254" si="612">AO254+1</f>
        <v>42</v>
      </c>
      <c r="AQ254" s="173">
        <f t="shared" ref="AQ254" si="613">AP254+1</f>
        <v>43</v>
      </c>
      <c r="AR254" s="173">
        <f t="shared" ref="AR254" si="614">AQ254+1</f>
        <v>44</v>
      </c>
      <c r="AS254" s="173">
        <f t="shared" ref="AS254" si="615">AR254+1</f>
        <v>45</v>
      </c>
      <c r="AT254" s="173">
        <f t="shared" ref="AT254" si="616">AS254+1</f>
        <v>46</v>
      </c>
      <c r="AU254" s="173">
        <f t="shared" ref="AU254" si="617">AT254+1</f>
        <v>47</v>
      </c>
      <c r="AV254" s="173">
        <f t="shared" ref="AV254" si="618">AU254+1</f>
        <v>48</v>
      </c>
      <c r="AW254" s="173">
        <f t="shared" ref="AW254" si="619">AV254+1</f>
        <v>49</v>
      </c>
      <c r="AX254" s="173">
        <f t="shared" ref="AX254" si="620">AW254+1</f>
        <v>50</v>
      </c>
      <c r="AY254" s="173">
        <f t="shared" ref="AY254" si="621">AX254+1</f>
        <v>51</v>
      </c>
      <c r="AZ254" s="173">
        <f t="shared" ref="AZ254" si="622">AY254+1</f>
        <v>52</v>
      </c>
      <c r="BA254" s="173">
        <f t="shared" ref="BA254" si="623">AZ254+1</f>
        <v>53</v>
      </c>
      <c r="BB254" s="173">
        <f t="shared" ref="BB254" si="624">BA254+1</f>
        <v>54</v>
      </c>
      <c r="BC254" s="173">
        <f t="shared" ref="BC254" si="625">BB254+1</f>
        <v>55</v>
      </c>
      <c r="BD254" s="173">
        <f t="shared" ref="BD254" si="626">BC254+1</f>
        <v>56</v>
      </c>
      <c r="BE254" s="173">
        <f t="shared" ref="BE254" si="627">BD254+1</f>
        <v>57</v>
      </c>
      <c r="BF254" s="173">
        <f t="shared" ref="BF254" si="628">BE254+1</f>
        <v>58</v>
      </c>
      <c r="BG254" s="173">
        <f t="shared" ref="BG254" si="629">BF254+1</f>
        <v>59</v>
      </c>
      <c r="BH254" s="173">
        <f t="shared" ref="BH254" si="630">BG254+1</f>
        <v>60</v>
      </c>
      <c r="BI254" s="173">
        <f t="shared" ref="BI254" si="631">BH254+1</f>
        <v>61</v>
      </c>
      <c r="BJ254" s="173">
        <f t="shared" ref="BJ254" si="632">BI254+1</f>
        <v>62</v>
      </c>
      <c r="BK254" s="173">
        <f t="shared" ref="BK254" si="633">BJ254+1</f>
        <v>63</v>
      </c>
      <c r="BL254" s="173">
        <f t="shared" ref="BL254" si="634">BK254+1</f>
        <v>64</v>
      </c>
      <c r="BM254" s="173">
        <f t="shared" ref="BM254" si="635">BL254+1</f>
        <v>65</v>
      </c>
      <c r="BN254" s="173">
        <f t="shared" ref="BN254" si="636">BM254+1</f>
        <v>66</v>
      </c>
      <c r="BO254" s="173">
        <f t="shared" ref="BO254" si="637">BN254+1</f>
        <v>67</v>
      </c>
      <c r="BP254" s="173">
        <f t="shared" ref="BP254" si="638">BO254+1</f>
        <v>68</v>
      </c>
      <c r="BQ254" s="173">
        <f t="shared" ref="BQ254" si="639">BP254+1</f>
        <v>69</v>
      </c>
      <c r="BR254" s="173">
        <f t="shared" ref="BR254" si="640">BQ254+1</f>
        <v>70</v>
      </c>
      <c r="BS254" s="173">
        <f t="shared" ref="BS254" si="641">BR254+1</f>
        <v>71</v>
      </c>
      <c r="BT254" s="173">
        <f t="shared" ref="BT254" si="642">BS254+1</f>
        <v>72</v>
      </c>
      <c r="BU254" s="173">
        <f t="shared" ref="BU254" si="643">BT254+1</f>
        <v>73</v>
      </c>
      <c r="BV254" s="173">
        <f t="shared" ref="BV254" si="644">BU254+1</f>
        <v>74</v>
      </c>
      <c r="BW254" s="173">
        <f t="shared" ref="BW254" si="645">BV254+1</f>
        <v>75</v>
      </c>
      <c r="BX254" s="173">
        <f t="shared" ref="BX254" si="646">BW254+1</f>
        <v>76</v>
      </c>
      <c r="BY254" s="173">
        <f t="shared" ref="BY254" si="647">BX254+1</f>
        <v>77</v>
      </c>
      <c r="BZ254" s="173">
        <f t="shared" ref="BZ254" si="648">BY254+1</f>
        <v>78</v>
      </c>
      <c r="CA254" s="173">
        <f t="shared" ref="CA254" si="649">BZ254+1</f>
        <v>79</v>
      </c>
      <c r="CB254" s="173">
        <f t="shared" ref="CB254" si="650">CA254+1</f>
        <v>80</v>
      </c>
      <c r="CC254" s="173">
        <f t="shared" ref="CC254" si="651">CB254+1</f>
        <v>81</v>
      </c>
      <c r="CD254" s="173">
        <f t="shared" ref="CD254" si="652">CC254+1</f>
        <v>82</v>
      </c>
      <c r="CE254" s="173">
        <f t="shared" ref="CE254" si="653">CD254+1</f>
        <v>83</v>
      </c>
      <c r="CF254" s="173">
        <f t="shared" ref="CF254" si="654">CE254+1</f>
        <v>84</v>
      </c>
      <c r="CG254" s="173">
        <f t="shared" ref="CG254" si="655">CF254+1</f>
        <v>85</v>
      </c>
      <c r="CH254" s="173">
        <f t="shared" ref="CH254" si="656">CG254+1</f>
        <v>86</v>
      </c>
      <c r="CI254" s="173">
        <f t="shared" ref="CI254" si="657">CH254+1</f>
        <v>87</v>
      </c>
      <c r="CJ254" s="173">
        <f t="shared" ref="CJ254" si="658">CI254+1</f>
        <v>88</v>
      </c>
      <c r="CK254" s="173">
        <f t="shared" ref="CK254" si="659">CJ254+1</f>
        <v>89</v>
      </c>
      <c r="CL254" s="173">
        <f t="shared" ref="CL254" si="660">CK254+1</f>
        <v>90</v>
      </c>
      <c r="CM254" s="173">
        <f t="shared" ref="CM254" si="661">CL254+1</f>
        <v>91</v>
      </c>
      <c r="CN254" s="173">
        <f t="shared" ref="CN254" si="662">CM254+1</f>
        <v>92</v>
      </c>
      <c r="CO254" s="173">
        <f t="shared" ref="CO254" si="663">CN254+1</f>
        <v>93</v>
      </c>
      <c r="CP254" s="173">
        <f t="shared" ref="CP254" si="664">CO254+1</f>
        <v>94</v>
      </c>
      <c r="CQ254" s="173">
        <f t="shared" ref="CQ254" si="665">CP254+1</f>
        <v>95</v>
      </c>
      <c r="CR254" s="173">
        <f t="shared" ref="CR254" si="666">CQ254+1</f>
        <v>96</v>
      </c>
      <c r="CS254" s="173">
        <f t="shared" ref="CS254" si="667">CR254+1</f>
        <v>97</v>
      </c>
      <c r="CT254" s="173">
        <f t="shared" ref="CT254" si="668">CS254+1</f>
        <v>98</v>
      </c>
      <c r="CU254" s="173">
        <f t="shared" ref="CU254:CV254" si="669">CT254+1</f>
        <v>99</v>
      </c>
      <c r="CV254" s="173">
        <f t="shared" si="669"/>
        <v>100</v>
      </c>
      <c r="CW254" s="173">
        <f t="shared" ref="CW254" si="670">CV254+1</f>
        <v>101</v>
      </c>
      <c r="CX254" s="173">
        <f t="shared" ref="CX254" si="671">CW254+1</f>
        <v>102</v>
      </c>
      <c r="CY254" s="173">
        <f t="shared" ref="CY254" si="672">CX254+1</f>
        <v>103</v>
      </c>
      <c r="CZ254" s="173">
        <f t="shared" ref="CZ254" si="673">CY254+1</f>
        <v>104</v>
      </c>
      <c r="DA254" s="173">
        <f t="shared" ref="DA254" si="674">CZ254+1</f>
        <v>105</v>
      </c>
      <c r="DB254" s="173">
        <f t="shared" ref="DB254" si="675">DA254+1</f>
        <v>106</v>
      </c>
      <c r="DC254" s="173">
        <f t="shared" ref="DC254" si="676">DB254+1</f>
        <v>107</v>
      </c>
      <c r="DD254" s="173">
        <f t="shared" ref="DD254" si="677">DC254+1</f>
        <v>108</v>
      </c>
      <c r="DE254" s="173">
        <f t="shared" ref="DE254" si="678">DD254+1</f>
        <v>109</v>
      </c>
      <c r="DF254" s="173">
        <f t="shared" ref="DF254" si="679">DE254+1</f>
        <v>110</v>
      </c>
      <c r="DG254" s="173">
        <f t="shared" ref="DG254" si="680">DF254+1</f>
        <v>111</v>
      </c>
      <c r="DH254" s="173">
        <f t="shared" ref="DH254" si="681">DG254+1</f>
        <v>112</v>
      </c>
      <c r="DI254" s="173">
        <f t="shared" ref="DI254" si="682">DH254+1</f>
        <v>113</v>
      </c>
      <c r="DJ254" s="173">
        <f t="shared" ref="DJ254" si="683">DI254+1</f>
        <v>114</v>
      </c>
      <c r="DK254" s="173">
        <f t="shared" ref="DK254" si="684">DJ254+1</f>
        <v>115</v>
      </c>
      <c r="DL254" s="173">
        <f t="shared" ref="DL254" si="685">DK254+1</f>
        <v>116</v>
      </c>
      <c r="DM254" s="173">
        <f t="shared" ref="DM254" si="686">DL254+1</f>
        <v>117</v>
      </c>
      <c r="DN254" s="173">
        <f t="shared" ref="DN254" si="687">DM254+1</f>
        <v>118</v>
      </c>
      <c r="DO254" s="173">
        <f t="shared" ref="DO254" si="688">DN254+1</f>
        <v>119</v>
      </c>
      <c r="DP254" s="173">
        <f t="shared" ref="DP254" si="689">DO254+1</f>
        <v>120</v>
      </c>
      <c r="DQ254" s="173">
        <f t="shared" ref="DQ254" si="690">DP254+1</f>
        <v>121</v>
      </c>
      <c r="DR254" s="173">
        <f t="shared" ref="DR254" si="691">DQ254+1</f>
        <v>122</v>
      </c>
      <c r="DS254" s="173">
        <f t="shared" ref="DS254" si="692">DR254+1</f>
        <v>123</v>
      </c>
      <c r="DT254" s="173">
        <f t="shared" ref="DT254" si="693">DS254+1</f>
        <v>124</v>
      </c>
      <c r="DU254" s="173">
        <f t="shared" ref="DU254" si="694">DT254+1</f>
        <v>125</v>
      </c>
      <c r="DV254" s="173">
        <f t="shared" ref="DV254" si="695">DU254+1</f>
        <v>126</v>
      </c>
      <c r="DW254" s="173">
        <f t="shared" ref="DW254" si="696">DV254+1</f>
        <v>127</v>
      </c>
      <c r="DX254" s="173">
        <f t="shared" ref="DX254" si="697">DW254+1</f>
        <v>128</v>
      </c>
      <c r="DZ254" s="173">
        <v>1</v>
      </c>
      <c r="EA254" s="173">
        <f t="shared" ref="EA254" si="698">DZ254+1</f>
        <v>2</v>
      </c>
      <c r="EB254" s="173">
        <f t="shared" ref="EB254" si="699">EA254+1</f>
        <v>3</v>
      </c>
      <c r="EC254" s="173">
        <f t="shared" ref="EC254" si="700">EB254+1</f>
        <v>4</v>
      </c>
    </row>
    <row r="255" spans="1:135" s="32" customFormat="1" ht="14" outlineLevel="1">
      <c r="B255" s="258" t="str">
        <f>A252</f>
        <v>Recycling Earnings</v>
      </c>
      <c r="C255" s="258"/>
      <c r="D255" s="258"/>
      <c r="E255" s="258"/>
      <c r="R255" s="5"/>
      <c r="S255" s="5"/>
      <c r="T255" s="5"/>
      <c r="U255" s="5"/>
      <c r="V255" s="5"/>
      <c r="X255" s="5"/>
      <c r="Y255" s="5"/>
      <c r="Z255" s="5"/>
      <c r="AA255" s="5"/>
      <c r="BQ255" s="124"/>
      <c r="BX255" s="124"/>
      <c r="CB255" s="124"/>
      <c r="CJ255" s="124"/>
      <c r="EC255" s="3"/>
      <c r="EE255" s="3"/>
    </row>
    <row r="256" spans="1:135" s="33" customFormat="1" ht="14" outlineLevel="1">
      <c r="B256" s="3" t="s">
        <v>201</v>
      </c>
      <c r="C256" s="3" t="s">
        <v>202</v>
      </c>
      <c r="F256" s="2"/>
      <c r="G256" s="257"/>
      <c r="H256" s="257"/>
      <c r="I256" s="150"/>
      <c r="J256" s="257"/>
      <c r="K256" s="257"/>
      <c r="L256" s="3" t="s">
        <v>100</v>
      </c>
      <c r="M256" s="242" t="str">
        <f>M$52</f>
        <v>1997 B Series</v>
      </c>
      <c r="N256" s="242"/>
      <c r="O256" s="242"/>
      <c r="P256" s="153"/>
      <c r="Q256" s="242" t="str">
        <f>Q$52</f>
        <v>1997 C Series</v>
      </c>
      <c r="R256" s="242"/>
      <c r="S256" s="242"/>
      <c r="T256" s="153"/>
      <c r="U256" s="242" t="str">
        <f>U$52</f>
        <v>1997 Series</v>
      </c>
      <c r="V256" s="242"/>
      <c r="W256" s="5"/>
      <c r="X256" s="243" t="str">
        <f>X$52</f>
        <v>1998 A Series</v>
      </c>
      <c r="Y256" s="243"/>
      <c r="Z256" s="243"/>
      <c r="AA256" s="5"/>
      <c r="AB256" s="244" t="str">
        <f>AB$52</f>
        <v>2002 C Series</v>
      </c>
      <c r="AC256" s="244"/>
      <c r="AD256" s="244"/>
      <c r="AE256" s="5"/>
      <c r="AF256" s="241" t="str">
        <f>AF$52</f>
        <v>2007 A Series</v>
      </c>
      <c r="AG256" s="241"/>
      <c r="AH256" s="241"/>
      <c r="AI256" s="148"/>
      <c r="AJ256" s="241" t="str">
        <f>AJ$52</f>
        <v>2007 B Series</v>
      </c>
      <c r="AK256" s="241"/>
      <c r="AL256" s="241"/>
      <c r="AM256" s="148"/>
      <c r="AN256" s="241" t="str">
        <f>AN$52</f>
        <v>2007 C1 Series</v>
      </c>
      <c r="AO256" s="241"/>
      <c r="AP256" s="241"/>
      <c r="AQ256" s="148"/>
      <c r="AR256" s="241" t="str">
        <f>AR$52</f>
        <v>2007 C2 Series</v>
      </c>
      <c r="AS256" s="241"/>
      <c r="AT256" s="241"/>
      <c r="AU256" s="148"/>
      <c r="AV256" s="252" t="str">
        <f>AV$52</f>
        <v>2007 Series</v>
      </c>
      <c r="AW256" s="252"/>
      <c r="AX256" s="3"/>
      <c r="AY256" s="246" t="str">
        <f>AY$52</f>
        <v>2018 A Series</v>
      </c>
      <c r="AZ256" s="246"/>
      <c r="BA256" s="246"/>
      <c r="BB256" s="156"/>
      <c r="BC256" s="246" t="str">
        <f>BC$52</f>
        <v>2018 D Series</v>
      </c>
      <c r="BD256" s="246"/>
      <c r="BE256" s="246"/>
      <c r="BF256" s="156"/>
      <c r="BG256" s="246" t="str">
        <f>BG$52</f>
        <v>2018 E Series</v>
      </c>
      <c r="BH256" s="246"/>
      <c r="BI256" s="246"/>
      <c r="BJ256" s="156"/>
      <c r="BK256" s="247" t="str">
        <f>BK$52</f>
        <v>2018 Series</v>
      </c>
      <c r="BL256" s="247"/>
      <c r="BM256" s="5"/>
      <c r="BN256" s="248" t="str">
        <f>BN$52</f>
        <v>2020 B Series</v>
      </c>
      <c r="BO256" s="248"/>
      <c r="BP256" s="248"/>
      <c r="BQ256" s="158"/>
      <c r="BR256" s="248" t="str">
        <f>BR$52</f>
        <v>2020 D Series</v>
      </c>
      <c r="BS256" s="248"/>
      <c r="BT256" s="248"/>
      <c r="BU256" s="159"/>
      <c r="BV256" s="248" t="str">
        <f>BV$52</f>
        <v>2020 BCD Series</v>
      </c>
      <c r="BW256" s="248"/>
      <c r="BX256" s="124"/>
      <c r="BY256" s="251" t="str">
        <f>BY$52</f>
        <v>2021 A Series</v>
      </c>
      <c r="BZ256" s="251"/>
      <c r="CA256" s="251"/>
      <c r="CB256" s="124"/>
      <c r="CC256" s="240" t="str">
        <f>CC$52</f>
        <v>2022 A Series</v>
      </c>
      <c r="CD256" s="240"/>
      <c r="CE256" s="240"/>
      <c r="CF256" s="160"/>
      <c r="CG256" s="240" t="str">
        <f>CG$52</f>
        <v>2022 B Series</v>
      </c>
      <c r="CH256" s="240"/>
      <c r="CI256" s="240"/>
      <c r="CJ256" s="160"/>
      <c r="CK256" s="240" t="str">
        <f>CK$52</f>
        <v>2022 C Series</v>
      </c>
      <c r="CL256" s="240"/>
      <c r="CM256" s="240"/>
      <c r="CN256" s="161"/>
      <c r="CO256" s="240" t="str">
        <f>CO$52</f>
        <v>2022 ABC Series</v>
      </c>
      <c r="CP256" s="240"/>
      <c r="CQ256" s="32"/>
      <c r="CR256" s="249" t="str">
        <f>CR52</f>
        <v>2022 D Series</v>
      </c>
      <c r="CS256" s="249"/>
      <c r="CT256" s="249"/>
      <c r="CU256" s="163"/>
      <c r="CV256" s="249" t="str">
        <f>CV52</f>
        <v>2022 E Series</v>
      </c>
      <c r="CW256" s="249"/>
      <c r="CX256" s="249"/>
      <c r="CY256" s="149"/>
      <c r="CZ256" s="249" t="str">
        <f>CZ$52</f>
        <v>2022 DE Series</v>
      </c>
      <c r="DA256" s="249"/>
      <c r="DB256" s="32"/>
      <c r="DC256" s="248" t="str">
        <f>DC$52</f>
        <v>2023 Series</v>
      </c>
      <c r="DD256" s="248"/>
      <c r="DE256" s="248"/>
      <c r="DF256" s="32"/>
      <c r="DG256" s="248" t="str">
        <f>DG$52</f>
        <v>2024 Series</v>
      </c>
      <c r="DH256" s="248"/>
      <c r="DI256" s="248"/>
      <c r="DJ256" s="32"/>
      <c r="DK256" s="248" t="str">
        <f>DK$52</f>
        <v>2025 Series</v>
      </c>
      <c r="DL256" s="248"/>
      <c r="DM256" s="248"/>
      <c r="DN256" s="32"/>
      <c r="DO256" s="248" t="str">
        <f>DO$52</f>
        <v>2026 Series</v>
      </c>
      <c r="DP256" s="248"/>
      <c r="DQ256" s="248"/>
      <c r="DR256" s="32"/>
      <c r="DS256" s="248" t="str">
        <f>DS$52</f>
        <v>2027 Series</v>
      </c>
      <c r="DT256" s="248"/>
      <c r="DU256" s="248"/>
      <c r="DV256" s="5"/>
      <c r="DW256" s="256" t="s">
        <v>173</v>
      </c>
      <c r="DX256" s="256"/>
      <c r="DY256" s="32"/>
      <c r="DZ256" s="166"/>
      <c r="EA256" s="262" t="s">
        <v>159</v>
      </c>
      <c r="EB256" s="262"/>
      <c r="EC256" s="169" t="s">
        <v>42</v>
      </c>
      <c r="EE256" s="3"/>
    </row>
    <row r="257" spans="1:135" s="33" customFormat="1" ht="14" outlineLevel="1">
      <c r="A257" s="4" t="s">
        <v>4</v>
      </c>
      <c r="B257" s="5" t="s">
        <v>169</v>
      </c>
      <c r="C257" s="5" t="s">
        <v>169</v>
      </c>
      <c r="D257" s="5" t="s">
        <v>16</v>
      </c>
      <c r="E257" s="5" t="s">
        <v>169</v>
      </c>
      <c r="F257" s="4"/>
      <c r="G257" s="4"/>
      <c r="H257" s="5"/>
      <c r="I257" s="5"/>
      <c r="J257" s="5"/>
      <c r="K257" s="5"/>
      <c r="L257" s="5" t="s">
        <v>101</v>
      </c>
      <c r="M257" s="153" t="s">
        <v>53</v>
      </c>
      <c r="N257" s="153" t="s">
        <v>154</v>
      </c>
      <c r="O257" s="153" t="s">
        <v>5</v>
      </c>
      <c r="P257" s="153"/>
      <c r="Q257" s="153" t="s">
        <v>53</v>
      </c>
      <c r="R257" s="153" t="s">
        <v>11</v>
      </c>
      <c r="S257" s="153" t="s">
        <v>5</v>
      </c>
      <c r="T257" s="153"/>
      <c r="U257" s="153" t="s">
        <v>158</v>
      </c>
      <c r="V257" s="153" t="s">
        <v>5</v>
      </c>
      <c r="W257" s="5"/>
      <c r="X257" s="130" t="s">
        <v>6</v>
      </c>
      <c r="Y257" s="130" t="s">
        <v>11</v>
      </c>
      <c r="Z257" s="130" t="s">
        <v>5</v>
      </c>
      <c r="AA257" s="5"/>
      <c r="AB257" s="154" t="s">
        <v>6</v>
      </c>
      <c r="AC257" s="154" t="s">
        <v>11</v>
      </c>
      <c r="AD257" s="154" t="s">
        <v>5</v>
      </c>
      <c r="AE257" s="5"/>
      <c r="AF257" s="148" t="s">
        <v>6</v>
      </c>
      <c r="AG257" s="148" t="s">
        <v>11</v>
      </c>
      <c r="AH257" s="148" t="s">
        <v>5</v>
      </c>
      <c r="AI257" s="148"/>
      <c r="AJ257" s="148" t="s">
        <v>6</v>
      </c>
      <c r="AK257" s="148" t="s">
        <v>12</v>
      </c>
      <c r="AL257" s="148" t="s">
        <v>5</v>
      </c>
      <c r="AM257" s="148"/>
      <c r="AN257" s="148" t="s">
        <v>6</v>
      </c>
      <c r="AO257" s="148" t="s">
        <v>12</v>
      </c>
      <c r="AP257" s="148" t="s">
        <v>5</v>
      </c>
      <c r="AQ257" s="148"/>
      <c r="AR257" s="148" t="s">
        <v>6</v>
      </c>
      <c r="AS257" s="148" t="s">
        <v>12</v>
      </c>
      <c r="AT257" s="148" t="s">
        <v>5</v>
      </c>
      <c r="AU257" s="148"/>
      <c r="AV257" s="148" t="s">
        <v>6</v>
      </c>
      <c r="AW257" s="155" t="s">
        <v>5</v>
      </c>
      <c r="AX257" s="82"/>
      <c r="AY257" s="157" t="s">
        <v>6</v>
      </c>
      <c r="AZ257" s="157" t="s">
        <v>11</v>
      </c>
      <c r="BA257" s="157" t="s">
        <v>5</v>
      </c>
      <c r="BB257" s="156"/>
      <c r="BC257" s="157" t="s">
        <v>6</v>
      </c>
      <c r="BD257" s="157" t="s">
        <v>12</v>
      </c>
      <c r="BE257" s="157" t="s">
        <v>5</v>
      </c>
      <c r="BF257" s="156"/>
      <c r="BG257" s="157" t="s">
        <v>6</v>
      </c>
      <c r="BH257" s="157" t="s">
        <v>12</v>
      </c>
      <c r="BI257" s="157" t="s">
        <v>5</v>
      </c>
      <c r="BJ257" s="156"/>
      <c r="BK257" s="157" t="s">
        <v>6</v>
      </c>
      <c r="BL257" s="157" t="s">
        <v>5</v>
      </c>
      <c r="BM257" s="5"/>
      <c r="BN257" s="152" t="s">
        <v>6</v>
      </c>
      <c r="BO257" s="152" t="s">
        <v>12</v>
      </c>
      <c r="BP257" s="152" t="s">
        <v>5</v>
      </c>
      <c r="BQ257" s="158"/>
      <c r="BR257" s="152" t="s">
        <v>6</v>
      </c>
      <c r="BS257" s="152" t="s">
        <v>12</v>
      </c>
      <c r="BT257" s="152" t="s">
        <v>5</v>
      </c>
      <c r="BU257" s="159"/>
      <c r="BV257" s="152" t="s">
        <v>6</v>
      </c>
      <c r="BW257" s="152" t="s">
        <v>5</v>
      </c>
      <c r="BX257" s="124"/>
      <c r="BY257" s="44" t="s">
        <v>6</v>
      </c>
      <c r="BZ257" s="44" t="s">
        <v>12</v>
      </c>
      <c r="CA257" s="44" t="s">
        <v>5</v>
      </c>
      <c r="CB257" s="124"/>
      <c r="CC257" s="161" t="s">
        <v>6</v>
      </c>
      <c r="CD257" s="161" t="s">
        <v>12</v>
      </c>
      <c r="CE257" s="161" t="s">
        <v>5</v>
      </c>
      <c r="CF257" s="160"/>
      <c r="CG257" s="161" t="s">
        <v>6</v>
      </c>
      <c r="CH257" s="161" t="s">
        <v>12</v>
      </c>
      <c r="CI257" s="161" t="s">
        <v>5</v>
      </c>
      <c r="CJ257" s="160"/>
      <c r="CK257" s="161" t="s">
        <v>6</v>
      </c>
      <c r="CL257" s="161" t="s">
        <v>12</v>
      </c>
      <c r="CM257" s="161" t="s">
        <v>5</v>
      </c>
      <c r="CN257" s="161"/>
      <c r="CO257" s="161" t="s">
        <v>6</v>
      </c>
      <c r="CP257" s="161" t="s">
        <v>5</v>
      </c>
      <c r="CQ257" s="32"/>
      <c r="CR257" s="149" t="s">
        <v>6</v>
      </c>
      <c r="CS257" s="149" t="s">
        <v>12</v>
      </c>
      <c r="CT257" s="149" t="s">
        <v>5</v>
      </c>
      <c r="CU257" s="163"/>
      <c r="CV257" s="149" t="s">
        <v>6</v>
      </c>
      <c r="CW257" s="149" t="s">
        <v>12</v>
      </c>
      <c r="CX257" s="149" t="s">
        <v>5</v>
      </c>
      <c r="CY257" s="149"/>
      <c r="CZ257" s="149" t="s">
        <v>6</v>
      </c>
      <c r="DA257" s="149" t="s">
        <v>5</v>
      </c>
      <c r="DB257" s="32"/>
      <c r="DC257" s="152" t="s">
        <v>6</v>
      </c>
      <c r="DD257" s="152" t="s">
        <v>12</v>
      </c>
      <c r="DE257" s="152" t="s">
        <v>5</v>
      </c>
      <c r="DF257" s="32"/>
      <c r="DG257" s="152" t="s">
        <v>6</v>
      </c>
      <c r="DH257" s="152" t="s">
        <v>12</v>
      </c>
      <c r="DI257" s="152" t="s">
        <v>5</v>
      </c>
      <c r="DJ257" s="32"/>
      <c r="DK257" s="152" t="s">
        <v>6</v>
      </c>
      <c r="DL257" s="152" t="s">
        <v>12</v>
      </c>
      <c r="DM257" s="152" t="s">
        <v>5</v>
      </c>
      <c r="DN257" s="32"/>
      <c r="DO257" s="152" t="s">
        <v>6</v>
      </c>
      <c r="DP257" s="152" t="s">
        <v>12</v>
      </c>
      <c r="DQ257" s="152" t="s">
        <v>5</v>
      </c>
      <c r="DR257" s="32"/>
      <c r="DS257" s="152" t="s">
        <v>6</v>
      </c>
      <c r="DT257" s="152" t="s">
        <v>12</v>
      </c>
      <c r="DU257" s="152" t="s">
        <v>5</v>
      </c>
      <c r="DV257" s="5"/>
      <c r="DW257" s="197" t="s">
        <v>6</v>
      </c>
      <c r="DX257" s="197" t="s">
        <v>5</v>
      </c>
      <c r="DY257" s="32"/>
      <c r="DZ257" s="166"/>
      <c r="EA257" s="166" t="s">
        <v>6</v>
      </c>
      <c r="EB257" s="166" t="s">
        <v>5</v>
      </c>
      <c r="EC257" s="166" t="s">
        <v>12</v>
      </c>
      <c r="EE257" s="5"/>
    </row>
    <row r="258" spans="1:135" s="6" customFormat="1" outlineLevel="1">
      <c r="Z258" s="87"/>
      <c r="AA258" s="87"/>
      <c r="BO258" s="77"/>
      <c r="BS258" s="77"/>
      <c r="BZ258" s="77"/>
      <c r="CD258" s="77"/>
      <c r="CH258" s="77"/>
      <c r="CL258" s="77"/>
      <c r="DD258" s="77"/>
      <c r="DH258" s="77"/>
      <c r="DL258" s="77"/>
      <c r="DP258" s="77"/>
      <c r="DT258" s="77"/>
    </row>
    <row r="259" spans="1:135" s="33" customFormat="1" outlineLevel="1">
      <c r="A259" s="7">
        <f>A$11</f>
        <v>2024</v>
      </c>
      <c r="B259" s="151">
        <f>Assumptions!B8</f>
        <v>5.3800000000000001E-2</v>
      </c>
      <c r="C259" s="151">
        <f>Assumptions!C8</f>
        <v>5.3800000000000001E-2</v>
      </c>
      <c r="D259" s="151">
        <f>Assumptions!D8</f>
        <v>3.5000000000000003E-2</v>
      </c>
      <c r="E259" s="151">
        <f>Assumptions!E8</f>
        <v>5.2999999999999999E-2</v>
      </c>
      <c r="F259" s="8"/>
      <c r="G259" s="8"/>
      <c r="H259" s="8"/>
      <c r="I259" s="8"/>
      <c r="J259" s="8"/>
      <c r="K259" s="8"/>
      <c r="L259" s="8"/>
      <c r="M259" s="87">
        <f t="shared" ref="M259:M295" si="701">M11-M206</f>
        <v>0</v>
      </c>
      <c r="N259" s="77">
        <f t="shared" ref="N259:N295" si="702">IF($A259&gt;M$58, "   ",  $D259+M$303)</f>
        <v>5.0500000000000003E-2</v>
      </c>
      <c r="O259" s="87">
        <f>IF($A259&gt;'Debt Service'!M$58, 0, SUM(M259:M$295)*N259*M$63/M$64+SUM(M260:M$295)*(M$64-M$63)/M$64*N259)</f>
        <v>309741.75</v>
      </c>
      <c r="P259" s="35"/>
      <c r="Q259" s="87">
        <f t="shared" ref="Q259:Q295" si="703">Q11-Q206</f>
        <v>0</v>
      </c>
      <c r="R259" s="77">
        <f t="shared" ref="R259:R295" si="704">IF($A259&gt;Q$58, "   ",  $D259+Q$303)</f>
        <v>5.0500000000000003E-2</v>
      </c>
      <c r="S259" s="87">
        <f>IF($A259&gt;'Debt Service'!Q$58, 0, SUM(Q259:Q$295)*R259*Q$63/Q$64+SUM(Q260:Q$295)*(Q$64-Q$63)/Q$64*R259)</f>
        <v>454500</v>
      </c>
      <c r="T259" s="35"/>
      <c r="U259" s="87">
        <f t="shared" ref="U259:U295" si="705">U11-U206</f>
        <v>0</v>
      </c>
      <c r="V259" s="35">
        <f t="shared" ref="V259:V295" si="706">O259+S259</f>
        <v>764241.75</v>
      </c>
      <c r="W259" s="35"/>
      <c r="X259" s="87">
        <f t="shared" ref="X259:X295" si="707">X11-X206</f>
        <v>0</v>
      </c>
      <c r="Y259" s="77">
        <f t="shared" ref="Y259:Y295" si="708">IF($A259&gt;X$58, "   ",  $D259+X$303)</f>
        <v>5.1299999999999998E-2</v>
      </c>
      <c r="Z259" s="87">
        <f>IF($A259&gt;'Debt Service'!X$58, 0, SUM(X259:X$295)*Y259*X$63/X$64+SUM(X260:X$295)*(X$64-X$63)/X$64*Y259)</f>
        <v>10135930.949999999</v>
      </c>
      <c r="AA259" s="87"/>
      <c r="AB259" s="87">
        <f t="shared" ref="AB259:AB295" si="709">AB11-AB206</f>
        <v>0</v>
      </c>
      <c r="AC259" s="77">
        <f t="shared" ref="AC259:AC295" si="710">IF($A259&gt;AB$58, $D259+AB$307,  $D259+AB$303)</f>
        <v>4.6700000000000005E-2</v>
      </c>
      <c r="AD259" s="87">
        <f>(SUM(AB259:AB$295)*AC259*AB$63/AB$64+SUM(AB260:AB$295)*(AB$64-AB$63)/AB$64*AC259)</f>
        <v>5253750.0000000009</v>
      </c>
      <c r="AE259" s="35"/>
      <c r="AF259" s="87">
        <f t="shared" ref="AF259:AF295" si="711">AF11-AF206</f>
        <v>0</v>
      </c>
      <c r="AG259" s="77">
        <f t="shared" ref="AG259:AG295" si="712">IF($A259&gt;$AJ$58, $D259+AF$307,  $D259+AF$303)</f>
        <v>4.6710000000000002E-2</v>
      </c>
      <c r="AH259" s="87">
        <f>(SUM(AF259:AF$295)*AG259*AF$63/AF$64+SUM(AF260:AF$295)*(AF$64-AF$63)/AF$64*AG259)</f>
        <v>436458.23999999999</v>
      </c>
      <c r="AI259" s="35"/>
      <c r="AJ259" s="87">
        <f t="shared" ref="AJ259:AJ295" si="713">AJ11-AJ206</f>
        <v>0</v>
      </c>
      <c r="AK259" s="77">
        <f t="shared" ref="AK259:AK295" si="714">IF($A259&gt;AJ$58, "   ",  $D259+AJ$303)</f>
        <v>4.6710000000000002E-2</v>
      </c>
      <c r="AL259" s="87">
        <f>IF($A259&gt;'Debt Service'!AJ$58, 0, SUM(AJ259:AJ$295)*AK259*AJ$63/AJ$64+SUM(AJ260:AJ$295)*(AJ$64-AJ$63)/AJ$64*AK259)</f>
        <v>2188830.6</v>
      </c>
      <c r="AM259" s="35"/>
      <c r="AN259" s="87">
        <f t="shared" ref="AN259:AN295" si="715">AN11-AN206</f>
        <v>0</v>
      </c>
      <c r="AO259" s="77" t="str">
        <f t="shared" ref="AO259:AO295" si="716">IF($A259&gt;AN$58, "   ",  $D259+AN$303)</f>
        <v xml:space="preserve">   </v>
      </c>
      <c r="AP259" s="87">
        <f>IF($A259&gt;'Debt Service'!AN$58, 0, SUM(AN259:AN$295)*AO259*AN$63/AN$64+SUM(AN260:AN$295)*(AN$64-AN$63)/AN$64*AO259)</f>
        <v>0</v>
      </c>
      <c r="AQ259" s="35"/>
      <c r="AR259" s="87">
        <f t="shared" ref="AR259:AR295" si="717">AR11-AR206</f>
        <v>0</v>
      </c>
      <c r="AS259" s="77">
        <f t="shared" ref="AS259:AS295" si="718">IF($A259&gt;AR$58, "   ",  $D259+AR$303)</f>
        <v>4.6710000000000002E-2</v>
      </c>
      <c r="AT259" s="87">
        <f>IF($A259&gt;'Debt Service'!AR$58, 0, SUM(AR259:AR$295)*AS259*AR$63/AR$64+SUM(AR260:AR$295)*(AR$64-AR$63)/AR$64*AS259)</f>
        <v>2196677.88</v>
      </c>
      <c r="AV259" s="35">
        <f t="shared" ref="AV259:AV293" si="719">AF259+AJ259+AN259+AR259</f>
        <v>0</v>
      </c>
      <c r="AW259" s="35">
        <f t="shared" ref="AW259:AW295" si="720">AH259+AL259+AP259+AT259</f>
        <v>4821966.72</v>
      </c>
      <c r="AX259" s="35"/>
      <c r="AY259" s="87">
        <f t="shared" ref="AY259:AY296" si="721">AY11-AY206</f>
        <v>0</v>
      </c>
      <c r="AZ259" s="77">
        <f t="shared" ref="AZ259:AZ295" si="722">IF($A259&gt;$AJ$58, $D259+AY$307,  $D259+AY$303)</f>
        <v>4.6710000000000002E-2</v>
      </c>
      <c r="BA259" s="87">
        <f>(SUM(AY259:AY$295)*AZ259*AY$63/AY$64+SUM(AY260:AY$295)*(AY$64-AY$63)/AY$64*AZ259)</f>
        <v>440895.69</v>
      </c>
      <c r="BB259" s="61"/>
      <c r="BC259" s="87">
        <f t="shared" ref="BC259:BC296" si="723">BC11-BC206</f>
        <v>0</v>
      </c>
      <c r="BD259" s="77">
        <f t="shared" ref="BD259:BD295" si="724">IF($A259&gt;$AJ$58, $D259+BC$307,  $D259+BC$303)</f>
        <v>4.6710000000000002E-2</v>
      </c>
      <c r="BE259" s="87">
        <f>IF($A259&gt;'Debt Service'!BC$58, 0, SUM(BC259:BC$295)*BD259*BC$63/BC$64+SUM(BC260:BC$295)*(BC$64-BC$63)/BC$64*BD259)</f>
        <v>1326610.71</v>
      </c>
      <c r="BF259" s="61"/>
      <c r="BG259" s="87">
        <f t="shared" ref="BG259:BG296" si="725">BG11-BG206</f>
        <v>0</v>
      </c>
      <c r="BH259" s="77">
        <f t="shared" ref="BH259:BH295" si="726">IF($A259&gt;$AJ$58, $D259+BG$307,  $D259+BG$303)</f>
        <v>4.6710000000000002E-2</v>
      </c>
      <c r="BI259" s="87">
        <f>IF($A259&gt;'Debt Service'!BG$58, 0, SUM(BG259:BG$295)*BH259*BG$63/BG$64+SUM(BG260:BG$295)*(BG$64-BG$63)/BG$64*BH259)</f>
        <v>3312533.0700000003</v>
      </c>
      <c r="BJ259" s="61"/>
      <c r="BK259" s="35">
        <f>AY259+BC259+BG259</f>
        <v>0</v>
      </c>
      <c r="BL259" s="35">
        <f>BA259+BE259+BI259</f>
        <v>5080039.4700000007</v>
      </c>
      <c r="BM259" s="8"/>
      <c r="BN259" s="87">
        <f t="shared" ref="BN259:BN296" si="727">BN11-BN206</f>
        <v>48008000</v>
      </c>
      <c r="BO259" s="77">
        <f t="shared" ref="BO259:BO295" si="728">IF($A259&gt;$AJ$58, $D259+BN$307,  $D259+BN$303)</f>
        <v>4.6710000000000002E-2</v>
      </c>
      <c r="BP259" s="87">
        <f>(SUM(BN259:BN$295)*BO259*BN$63/BN$64+SUM(BN260:BN$295)*(BN$64-BN$63)/BN$64*BO259)</f>
        <v>2242453.6800000002</v>
      </c>
      <c r="BQ259" s="77"/>
      <c r="BR259" s="87">
        <f t="shared" ref="BR259:BR296" si="729">BR11-BR206</f>
        <v>0</v>
      </c>
      <c r="BS259" s="77">
        <f t="shared" ref="BS259:BS295" si="730">IF($A259&gt;$AJ$58, $D259+BR$307,  $D259+BR$303)</f>
        <v>4.6710000000000002E-2</v>
      </c>
      <c r="BT259" s="87">
        <f>IF($A259&gt;'Debt Service'!BR$58, 0, SUM(BR259:BR$295)*BS259*BR$63/BR$64+SUM(BR260:BR$295)*(BR$64-BR$63)/BR$64*BS259)</f>
        <v>3343128.12</v>
      </c>
      <c r="BU259" s="87"/>
      <c r="BV259" s="35">
        <f>BN259+BR259</f>
        <v>48008000</v>
      </c>
      <c r="BW259" s="35">
        <f>BP259+BT259</f>
        <v>5585581.8000000007</v>
      </c>
      <c r="BX259" s="87"/>
      <c r="BY259" s="87">
        <f t="shared" ref="BY259:BY266" si="731">BY11-BY206</f>
        <v>0</v>
      </c>
      <c r="BZ259" s="77">
        <f t="shared" ref="BZ259:BZ295" si="732">IF($A259&gt;$AJ$58, $D259+BY$307,  $D259+BY$303)</f>
        <v>4.6710000000000002E-2</v>
      </c>
      <c r="CA259" s="87">
        <f>(SUM(BY259:BY$295)*BZ259*BY$63/BY$64+SUM(BY260:BY$295)*(BY$64-BY$63)/BY$64*BZ259)</f>
        <v>2014508.8800000001</v>
      </c>
      <c r="CB259" s="87"/>
      <c r="CC259" s="87">
        <f t="shared" ref="CC259:CC296" si="733">CC11-CC206</f>
        <v>0</v>
      </c>
      <c r="CD259" s="77">
        <f t="shared" ref="CD259:CD295" si="734">IF($A259&gt;$AJ$58, $D259+CC$307,  $D259+CC$303)</f>
        <v>4.6710000000000002E-2</v>
      </c>
      <c r="CE259" s="87">
        <f>IF(OR($A259&gt;'Debt Service'!CC$58,$A259&lt;CC$51), 0, SUM(CC259:CC$295)*CD259*CC$63/CC$64+SUM(CC260:CC$295)*(CC$64-CC$63)/CC$64*CD259)</f>
        <v>219069.9</v>
      </c>
      <c r="CF259" s="87"/>
      <c r="CG259" s="87">
        <f t="shared" ref="CG259:CG296" si="735">CG11-CG206</f>
        <v>0</v>
      </c>
      <c r="CH259" s="77">
        <f t="shared" ref="CH259:CH295" si="736">IF($A259&gt;$AJ$58, $D259+CG$307,  $D259+CG$303)</f>
        <v>4.6710000000000002E-2</v>
      </c>
      <c r="CI259" s="87">
        <f>IF(OR($A259&gt;'Debt Service'!CG$58,$A259&lt;CG$51), 0, SUM(CG259:CG$295)*CH259*CG$63/CG$64+SUM(CG260:CG$295)*(CG$64-CG$63)/CG$64*CH259)</f>
        <v>3354852.33</v>
      </c>
      <c r="CJ259" s="87"/>
      <c r="CK259" s="87">
        <f t="shared" ref="CK259:CK296" si="737">CK11-CK206</f>
        <v>0</v>
      </c>
      <c r="CL259" s="77">
        <f t="shared" ref="CL259:CL295" si="738">IF($A259&gt;$AJ$58, $D259+CK$307,  $D259+CK$303)</f>
        <v>4.6710000000000002E-2</v>
      </c>
      <c r="CM259" s="87">
        <f>IF(OR($A259&gt;'Debt Service'!CK$58,$A259&lt;CK$51), 0, SUM(CK259:CK$295)*CL259*CK$63/CK$64+SUM(CK260:CK$295)*(CK$64-CK$63)/CK$64*CL259)</f>
        <v>3351582.6300000004</v>
      </c>
      <c r="CN259" s="87"/>
      <c r="CO259" s="162">
        <f t="shared" ref="CO259:CO295" si="739">CC259+CG259+CK259</f>
        <v>0</v>
      </c>
      <c r="CP259" s="87">
        <f t="shared" ref="CP259:CP295" si="740">CE259+CI259+CM259</f>
        <v>6925504.8600000003</v>
      </c>
      <c r="CQ259" s="8"/>
      <c r="CR259" s="87">
        <f t="shared" ref="CR259:CR296" si="741">CR11-CR206</f>
        <v>0</v>
      </c>
      <c r="CS259" s="77">
        <f t="shared" ref="CS259:CS295" si="742">IF($A259&gt;$AJ$58, $D259+CR$307,  $D259+CR$303)</f>
        <v>4.6710000000000002E-2</v>
      </c>
      <c r="CT259" s="87">
        <f>IF(OR($A259&gt;'Debt Service'!CR$58,$A259&lt;CR$51), 0, SUM(CR259:CR$295)*CS259*CR$63/CR$64+SUM(CR260:CR$295)*(CR$64-CR$63)/CR$64*CS259)</f>
        <v>980536.32000000007</v>
      </c>
      <c r="CU259" s="87"/>
      <c r="CV259" s="87">
        <f t="shared" ref="CV259:CV296" si="743">CV11-CV206</f>
        <v>0</v>
      </c>
      <c r="CW259" s="77">
        <f t="shared" ref="CW259:CW295" si="744">IF($A259&gt;$AJ$58, $D259+CV$307,  $D259+CV$303)</f>
        <v>4.6710000000000002E-2</v>
      </c>
      <c r="CX259" s="87">
        <f>IF(OR($A259&gt;'Debt Service'!CV$58,$A259&lt;CV$51), 0, SUM(CV259:CV$295)*CW259*CV$63/CV$64+SUM(CV260:CV$295)*(CV$64-CV$63)/CV$64*CW259)</f>
        <v>3345416.91</v>
      </c>
      <c r="CY259" s="87"/>
      <c r="CZ259" s="165">
        <f t="shared" ref="CZ259:CZ295" si="745">CR259+CV259</f>
        <v>0</v>
      </c>
      <c r="DA259" s="165">
        <f t="shared" ref="DA259:DA295" si="746">CT259+CX259</f>
        <v>4325953.2300000004</v>
      </c>
      <c r="DB259" s="87"/>
      <c r="DC259" s="87">
        <f t="shared" ref="DC259:DC296" si="747">DC11-DC206</f>
        <v>0</v>
      </c>
      <c r="DD259" s="77">
        <f t="shared" ref="DD259:DD295" si="748">IF($A259&gt;$AJ$58, $D259+DC$307,  $D259+DC$303)</f>
        <v>4.6710000000000002E-2</v>
      </c>
      <c r="DE259" s="87">
        <f>IF($A259&gt;'Debt Service'!DC$58, 0, SUM(DC259:DC$295)*DD259*DC$63/DC$64+SUM(DC260:DC$295)*(DC$64-DC$63)/DC$64*DD259)</f>
        <v>6238867.8600000003</v>
      </c>
      <c r="DF259" s="87"/>
      <c r="DG259" s="87">
        <f t="shared" ref="DG259:DG296" si="749">DG11-DG206</f>
        <v>0</v>
      </c>
      <c r="DH259" s="77">
        <f t="shared" ref="DH259:DH295" si="750">IF($A259&gt;$AJ$58, $D259+DG$307,  $D259+DG$303)</f>
        <v>4.6710000000000002E-2</v>
      </c>
      <c r="DI259" s="87">
        <f>IF($A259&gt;'Debt Service'!DG$58, 0, SUM(DG259:DG$295)*DH259*DG$63/DG$64+SUM(DG260:DG$295)*(DG$64-DG$63)/DG$64*DH259)</f>
        <v>0</v>
      </c>
      <c r="DJ259" s="87"/>
      <c r="DK259" s="87">
        <f t="shared" ref="DK259:DK296" si="751">DK11-DK206</f>
        <v>0</v>
      </c>
      <c r="DL259" s="77">
        <f t="shared" ref="DL259:DL295" si="752">IF($A259&gt;$AJ$58, $D259+DK$307,  $D259+DK$303)</f>
        <v>4.6710000000000002E-2</v>
      </c>
      <c r="DM259" s="87">
        <f>IF($A259&gt;'Debt Service'!DK$58, 0, SUM(DK259:DK$295)*DL259*DK$63/DK$64+SUM(DK260:DK$295)*(DK$64-DK$63)/DK$64*DL259)</f>
        <v>0</v>
      </c>
      <c r="DN259" s="87"/>
      <c r="DO259" s="87">
        <f t="shared" ref="DO259:DO296" si="753">DO11-DO206</f>
        <v>0</v>
      </c>
      <c r="DP259" s="77">
        <f t="shared" ref="DP259:DP295" si="754">IF($A259&gt;$AJ$58, $D259+DO$307,  $D259+DO$303)</f>
        <v>4.6710000000000002E-2</v>
      </c>
      <c r="DQ259" s="87">
        <f>IF($A259&gt;'Debt Service'!DO$58, 0, SUM(DO259:DO$295)*DP259*DO$63/DO$64+SUM(DO260:DO$295)*(DO$64-DO$63)/DO$64*DP259)</f>
        <v>0</v>
      </c>
      <c r="DR259" s="87"/>
      <c r="DS259" s="87">
        <f t="shared" ref="DS259:DS296" si="755">DS11-DS206</f>
        <v>0</v>
      </c>
      <c r="DT259" s="77">
        <f t="shared" ref="DT259:DT295" si="756">IF($A259&gt;$AJ$58, $D259+DS$307,  $D259+DS$303)</f>
        <v>4.6710000000000002E-2</v>
      </c>
      <c r="DU259" s="87">
        <f>IF($A259&gt;'Debt Service'!DS$58, 0, SUM(DS259:DS$295)*DT259*DS$63/DS$64+SUM(DS260:DS$295)*(DS$64-DS$63)/DS$64*DT259)</f>
        <v>0</v>
      </c>
      <c r="DV259" s="8"/>
      <c r="DW259" s="165">
        <f>AV259+BK259+BV259+BY259+CO259+CZ259+DC259+DG259+DK259+DO259+DS259</f>
        <v>48008000</v>
      </c>
      <c r="DX259" s="165">
        <f>AW259+BL259+BW259+CA259+CP259+DA259+DE259+DI259+DM259+DQ259+DU259</f>
        <v>34992422.82</v>
      </c>
      <c r="DY259" s="8"/>
      <c r="DZ259" s="53">
        <f t="shared" ref="DZ259:DZ295" si="757">A259</f>
        <v>2024</v>
      </c>
      <c r="EA259" s="35">
        <f t="shared" ref="EA259:EA280" si="758">U259+X259+AB259+DW259</f>
        <v>48008000</v>
      </c>
      <c r="EB259" s="35">
        <f t="shared" ref="EB259:EB295" si="759">V259+AD259+DX259</f>
        <v>41010414.57</v>
      </c>
      <c r="EC259" s="77">
        <f>IF($A259&gt;2042, VLOOKUP($A259, Assumptions!$A$8:$D$44, Assumptions!$D$1, FALSE) +'Debt Service'!DS$307, MAX(EB259/SUM(EA259:EA$295), EC260))</f>
        <v>4.6710000000000002E-2</v>
      </c>
      <c r="ED259" s="208">
        <v>1</v>
      </c>
      <c r="EE259" s="61"/>
    </row>
    <row r="260" spans="1:135" s="33" customFormat="1" outlineLevel="1">
      <c r="A260" s="7">
        <f t="shared" ref="A260:A295" si="760">A259+1</f>
        <v>2025</v>
      </c>
      <c r="B260" s="151">
        <f>Assumptions!B9</f>
        <v>5.3800000000000001E-2</v>
      </c>
      <c r="C260" s="151">
        <f>Assumptions!C9</f>
        <v>5.3800000000000001E-2</v>
      </c>
      <c r="D260" s="151">
        <f>Assumptions!D9</f>
        <v>3.5000000000000003E-2</v>
      </c>
      <c r="E260" s="151">
        <f>Assumptions!E9</f>
        <v>5.2999999999999999E-2</v>
      </c>
      <c r="F260" s="8"/>
      <c r="G260" s="8"/>
      <c r="H260" s="8"/>
      <c r="I260" s="8"/>
      <c r="J260" s="8"/>
      <c r="K260" s="8"/>
      <c r="L260" s="8"/>
      <c r="M260" s="87">
        <f t="shared" si="701"/>
        <v>0</v>
      </c>
      <c r="N260" s="77">
        <f t="shared" si="702"/>
        <v>5.0500000000000003E-2</v>
      </c>
      <c r="O260" s="87">
        <f>IF($A260&gt;'Debt Service'!M$58, 0, SUM(M260:M$295)*N260*M$63/M$64+SUM(M261:M$295)*(M$64-M$63)/M$64*N260)</f>
        <v>309741.75</v>
      </c>
      <c r="P260" s="35"/>
      <c r="Q260" s="87">
        <f t="shared" si="703"/>
        <v>0</v>
      </c>
      <c r="R260" s="77">
        <f t="shared" si="704"/>
        <v>5.0500000000000003E-2</v>
      </c>
      <c r="S260" s="87">
        <f>IF($A260&gt;'Debt Service'!Q$58, 0, SUM(Q260:Q$295)*R260*Q$63/Q$64+SUM(Q261:Q$295)*(Q$64-Q$63)/Q$64*R260)</f>
        <v>454500</v>
      </c>
      <c r="T260" s="35"/>
      <c r="U260" s="87">
        <f t="shared" si="705"/>
        <v>0</v>
      </c>
      <c r="V260" s="35">
        <f t="shared" si="706"/>
        <v>764241.75</v>
      </c>
      <c r="W260" s="35"/>
      <c r="X260" s="87">
        <f t="shared" si="707"/>
        <v>0</v>
      </c>
      <c r="Y260" s="77">
        <f t="shared" si="708"/>
        <v>5.1299999999999998E-2</v>
      </c>
      <c r="Z260" s="87">
        <f>IF($A260&gt;'Debt Service'!X$58, 0, SUM(X260:X$295)*Y260*X$63/X$64+SUM(X261:X$295)*(X$64-X$63)/X$64*Y260)</f>
        <v>10135930.949999999</v>
      </c>
      <c r="AA260" s="87"/>
      <c r="AB260" s="87">
        <f t="shared" si="709"/>
        <v>0</v>
      </c>
      <c r="AC260" s="77">
        <f t="shared" si="710"/>
        <v>4.6700000000000005E-2</v>
      </c>
      <c r="AD260" s="87">
        <f>(SUM(AB260:AB$295)*AC260*AB$63/AB$64+SUM(AB261:AB$295)*(AB$64-AB$63)/AB$64*AC260)</f>
        <v>5253750.0000000009</v>
      </c>
      <c r="AE260" s="35"/>
      <c r="AF260" s="87">
        <f t="shared" si="711"/>
        <v>0</v>
      </c>
      <c r="AG260" s="77">
        <f t="shared" si="712"/>
        <v>4.6710000000000002E-2</v>
      </c>
      <c r="AH260" s="87">
        <f>(SUM(AF260:AF$295)*AG260*AF$63/AF$64+SUM(AF261:AF$295)*(AF$64-AF$63)/AF$64*AG260)</f>
        <v>436458.23999999999</v>
      </c>
      <c r="AI260" s="35"/>
      <c r="AJ260" s="87">
        <f t="shared" si="713"/>
        <v>0</v>
      </c>
      <c r="AK260" s="77">
        <f t="shared" si="714"/>
        <v>4.6710000000000002E-2</v>
      </c>
      <c r="AL260" s="87">
        <f>IF($A260&gt;'Debt Service'!AJ$58, 0, SUM(AJ260:AJ$295)*AK260*AJ$63/AJ$64+SUM(AJ261:AJ$295)*(AJ$64-AJ$63)/AJ$64*AK260)</f>
        <v>2188830.6</v>
      </c>
      <c r="AM260" s="35"/>
      <c r="AN260" s="87">
        <f t="shared" si="715"/>
        <v>0</v>
      </c>
      <c r="AO260" s="77" t="str">
        <f t="shared" si="716"/>
        <v xml:space="preserve">   </v>
      </c>
      <c r="AP260" s="87">
        <f>IF($A260&gt;'Debt Service'!AN$58, 0, SUM(AN260:AN$295)*AO260*AN$63/AN$64+SUM(AN261:AN$295)*(AN$64-AN$63)/AN$64*AO260)</f>
        <v>0</v>
      </c>
      <c r="AQ260" s="35"/>
      <c r="AR260" s="87">
        <f t="shared" si="717"/>
        <v>0</v>
      </c>
      <c r="AS260" s="77">
        <f t="shared" si="718"/>
        <v>4.6710000000000002E-2</v>
      </c>
      <c r="AT260" s="87">
        <f>IF($A260&gt;'Debt Service'!AR$58, 0, SUM(AR260:AR$295)*AS260*AR$63/AR$64+SUM(AR261:AR$295)*(AR$64-AR$63)/AR$64*AS260)</f>
        <v>2196677.88</v>
      </c>
      <c r="AV260" s="35">
        <f t="shared" si="719"/>
        <v>0</v>
      </c>
      <c r="AW260" s="35">
        <f t="shared" si="720"/>
        <v>4821966.72</v>
      </c>
      <c r="AX260" s="35"/>
      <c r="AY260" s="87">
        <f t="shared" si="721"/>
        <v>0</v>
      </c>
      <c r="AZ260" s="77">
        <f t="shared" si="722"/>
        <v>4.6710000000000002E-2</v>
      </c>
      <c r="BA260" s="87">
        <f>(SUM(AY260:AY$295)*AZ260*AY$63/AY$64+SUM(AY261:AY$295)*(AY$64-AY$63)/AY$64*AZ260)</f>
        <v>440895.69</v>
      </c>
      <c r="BB260" s="61"/>
      <c r="BC260" s="87">
        <f t="shared" si="723"/>
        <v>0</v>
      </c>
      <c r="BD260" s="77">
        <f t="shared" si="724"/>
        <v>4.6710000000000002E-2</v>
      </c>
      <c r="BE260" s="87">
        <f>IF($A260&gt;'Debt Service'!BC$58, 0, SUM(BC260:BC$295)*BD260*BC$63/BC$64+SUM(BC261:BC$295)*(BC$64-BC$63)/BC$64*BD260)</f>
        <v>1326610.71</v>
      </c>
      <c r="BF260" s="61"/>
      <c r="BG260" s="87">
        <f t="shared" si="725"/>
        <v>0</v>
      </c>
      <c r="BH260" s="77">
        <f t="shared" si="726"/>
        <v>4.6710000000000002E-2</v>
      </c>
      <c r="BI260" s="87">
        <f>IF($A260&gt;'Debt Service'!BG$58, 0, SUM(BG260:BG$295)*BH260*BG$63/BG$64+SUM(BG261:BG$295)*(BG$64-BG$63)/BG$64*BH260)</f>
        <v>3312533.0700000003</v>
      </c>
      <c r="BJ260" s="61"/>
      <c r="BK260" s="35">
        <f t="shared" ref="BK260:BK295" si="761">AY260+BC260+BG260</f>
        <v>0</v>
      </c>
      <c r="BL260" s="35">
        <f t="shared" ref="BL260:BL295" si="762">BA260+BE260+BI260</f>
        <v>5080039.4700000007</v>
      </c>
      <c r="BM260" s="8"/>
      <c r="BN260" s="87">
        <f t="shared" si="727"/>
        <v>0</v>
      </c>
      <c r="BO260" s="77">
        <f t="shared" si="728"/>
        <v>4.6710000000000002E-2</v>
      </c>
      <c r="BP260" s="87">
        <f>(SUM(BN260:BN$295)*BO260*BN$63/BN$64+SUM(BN261:BN$295)*(BN$64-BN$63)/BN$64*BO260)</f>
        <v>0</v>
      </c>
      <c r="BQ260" s="77"/>
      <c r="BR260" s="87">
        <f t="shared" si="729"/>
        <v>0</v>
      </c>
      <c r="BS260" s="77">
        <f t="shared" si="730"/>
        <v>4.6710000000000002E-2</v>
      </c>
      <c r="BT260" s="87">
        <f>IF($A260&gt;'Debt Service'!BR$58, 0, SUM(BR260:BR$295)*BS260*BR$63/BR$64+SUM(BR261:BR$295)*(BR$64-BR$63)/BR$64*BS260)</f>
        <v>3343128.12</v>
      </c>
      <c r="BU260" s="87"/>
      <c r="BV260" s="35">
        <f t="shared" ref="BV260:BV295" si="763">BN260+BR260</f>
        <v>0</v>
      </c>
      <c r="BW260" s="35">
        <f t="shared" ref="BW260:BW295" si="764">BP260+BT260</f>
        <v>3343128.12</v>
      </c>
      <c r="BX260" s="87"/>
      <c r="BY260" s="87">
        <f t="shared" si="731"/>
        <v>0</v>
      </c>
      <c r="BZ260" s="77">
        <f t="shared" si="732"/>
        <v>4.6710000000000002E-2</v>
      </c>
      <c r="CA260" s="87">
        <f>(SUM(BY260:BY$295)*BZ260*BY$63/BY$64+SUM(BY261:BY$295)*(BY$64-BY$63)/BY$64*BZ260)</f>
        <v>2014508.8800000001</v>
      </c>
      <c r="CB260" s="87"/>
      <c r="CC260" s="87">
        <f t="shared" si="733"/>
        <v>0</v>
      </c>
      <c r="CD260" s="77">
        <f t="shared" si="734"/>
        <v>4.6710000000000002E-2</v>
      </c>
      <c r="CE260" s="87">
        <f>IF(OR($A260&gt;'Debt Service'!CC$58,$A260&lt;CC$51), 0, SUM(CC260:CC$295)*CD260*CC$63/CC$64+SUM(CC261:CC$295)*(CC$64-CC$63)/CC$64*CD260)</f>
        <v>219069.9</v>
      </c>
      <c r="CF260" s="87"/>
      <c r="CG260" s="87">
        <f t="shared" si="735"/>
        <v>0</v>
      </c>
      <c r="CH260" s="77">
        <f t="shared" si="736"/>
        <v>4.6710000000000002E-2</v>
      </c>
      <c r="CI260" s="87">
        <f>IF(OR($A260&gt;'Debt Service'!CG$58,$A260&lt;CG$51), 0, SUM(CG260:CG$295)*CH260*CG$63/CG$64+SUM(CG261:CG$295)*(CG$64-CG$63)/CG$64*CH260)</f>
        <v>3354852.33</v>
      </c>
      <c r="CJ260" s="87"/>
      <c r="CK260" s="87">
        <f t="shared" si="737"/>
        <v>0</v>
      </c>
      <c r="CL260" s="77">
        <f t="shared" si="738"/>
        <v>4.6710000000000002E-2</v>
      </c>
      <c r="CM260" s="87">
        <f>IF(OR($A260&gt;'Debt Service'!CK$58,$A260&lt;CK$51), 0, SUM(CK260:CK$295)*CL260*CK$63/CK$64+SUM(CK261:CK$295)*(CK$64-CK$63)/CK$64*CL260)</f>
        <v>3351582.6300000004</v>
      </c>
      <c r="CN260" s="87"/>
      <c r="CO260" s="162">
        <f t="shared" si="739"/>
        <v>0</v>
      </c>
      <c r="CP260" s="87">
        <f t="shared" si="740"/>
        <v>6925504.8600000003</v>
      </c>
      <c r="CQ260" s="8"/>
      <c r="CR260" s="87">
        <f t="shared" si="741"/>
        <v>0</v>
      </c>
      <c r="CS260" s="77">
        <f t="shared" si="742"/>
        <v>4.6710000000000002E-2</v>
      </c>
      <c r="CT260" s="87">
        <f>IF(OR($A260&gt;'Debt Service'!CR$58,$A260&lt;CR$51), 0, SUM(CR260:CR$295)*CS260*CR$63/CR$64+SUM(CR261:CR$295)*(CR$64-CR$63)/CR$64*CS260)</f>
        <v>980536.32000000007</v>
      </c>
      <c r="CU260" s="87"/>
      <c r="CV260" s="87">
        <f t="shared" si="743"/>
        <v>0</v>
      </c>
      <c r="CW260" s="77">
        <f t="shared" si="744"/>
        <v>4.6710000000000002E-2</v>
      </c>
      <c r="CX260" s="87">
        <f>IF(OR($A260&gt;'Debt Service'!CV$58,$A260&lt;CV$51), 0, SUM(CV260:CV$295)*CW260*CV$63/CV$64+SUM(CV261:CV$295)*(CV$64-CV$63)/CV$64*CW260)</f>
        <v>3345416.91</v>
      </c>
      <c r="CY260" s="87"/>
      <c r="CZ260" s="165">
        <f t="shared" si="745"/>
        <v>0</v>
      </c>
      <c r="DA260" s="165">
        <f t="shared" si="746"/>
        <v>4325953.2300000004</v>
      </c>
      <c r="DB260" s="87"/>
      <c r="DC260" s="87">
        <f t="shared" si="747"/>
        <v>0</v>
      </c>
      <c r="DD260" s="77">
        <f t="shared" si="748"/>
        <v>4.6710000000000002E-2</v>
      </c>
      <c r="DE260" s="87">
        <f>IF($A260&gt;'Debt Service'!DC$58, 0, SUM(DC260:DC$295)*DD260*DC$63/DC$64+SUM(DC261:DC$295)*(DC$64-DC$63)/DC$64*DD260)</f>
        <v>6238867.8600000003</v>
      </c>
      <c r="DF260" s="87"/>
      <c r="DG260" s="87">
        <f t="shared" si="749"/>
        <v>0</v>
      </c>
      <c r="DH260" s="77">
        <f t="shared" si="750"/>
        <v>4.6710000000000002E-2</v>
      </c>
      <c r="DI260" s="87">
        <f>IF($A260&gt;'Debt Service'!DG$58, 0, SUM(DG260:DG$295)*DH260*DG$63/DG$64+SUM(DG261:DG$295)*(DG$64-DG$63)/DG$64*DH260)</f>
        <v>0</v>
      </c>
      <c r="DJ260" s="87"/>
      <c r="DK260" s="87">
        <f t="shared" si="751"/>
        <v>0</v>
      </c>
      <c r="DL260" s="77">
        <f t="shared" si="752"/>
        <v>4.6710000000000002E-2</v>
      </c>
      <c r="DM260" s="87">
        <f>IF($A260&gt;'Debt Service'!DK$58, 0, SUM(DK260:DK$295)*DL260*DK$63/DK$64+SUM(DK261:DK$295)*(DK$64-DK$63)/DK$64*DL260)</f>
        <v>0</v>
      </c>
      <c r="DN260" s="87"/>
      <c r="DO260" s="87">
        <f t="shared" si="753"/>
        <v>0</v>
      </c>
      <c r="DP260" s="77">
        <f t="shared" si="754"/>
        <v>4.6710000000000002E-2</v>
      </c>
      <c r="DQ260" s="87">
        <f>IF($A260&gt;'Debt Service'!DO$58, 0, SUM(DO260:DO$295)*DP260*DO$63/DO$64+SUM(DO261:DO$295)*(DO$64-DO$63)/DO$64*DP260)</f>
        <v>0</v>
      </c>
      <c r="DR260" s="87"/>
      <c r="DS260" s="87">
        <f t="shared" si="755"/>
        <v>0</v>
      </c>
      <c r="DT260" s="77">
        <f t="shared" si="756"/>
        <v>4.6710000000000002E-2</v>
      </c>
      <c r="DU260" s="87">
        <f>IF($A260&gt;'Debt Service'!DS$58, 0, SUM(DS260:DS$295)*DT260*DS$63/DS$64+SUM(DS261:DS$295)*(DS$64-DS$63)/DS$64*DT260)</f>
        <v>0</v>
      </c>
      <c r="DV260" s="8"/>
      <c r="DW260" s="165">
        <f t="shared" ref="DW260:DW295" si="765">AV260+BK260+BV260+BY260+CO260+CZ260+DC260+DG260+DK260+DO260+DS260</f>
        <v>0</v>
      </c>
      <c r="DX260" s="165">
        <f t="shared" ref="DX260:DX295" si="766">AW260+BL260+BW260+CA260+CP260+DA260+DE260+DI260+DM260+DQ260+DU260</f>
        <v>32749969.140000004</v>
      </c>
      <c r="DY260" s="8"/>
      <c r="DZ260" s="53">
        <f t="shared" si="757"/>
        <v>2025</v>
      </c>
      <c r="EA260" s="35">
        <f t="shared" si="758"/>
        <v>0</v>
      </c>
      <c r="EB260" s="35">
        <f t="shared" si="759"/>
        <v>38767960.890000008</v>
      </c>
      <c r="EC260" s="77">
        <f>IF($A260&gt;2042, VLOOKUP($A260, Assumptions!$A$8:$D$44, Assumptions!$D$1, FALSE) +'Debt Service'!DS$307, MAX(EB260/SUM(EA260:EA$295), EC261))</f>
        <v>4.6710000000000002E-2</v>
      </c>
      <c r="ED260" s="172">
        <f t="shared" ref="ED260:ED295" si="767">ED259+1</f>
        <v>2</v>
      </c>
      <c r="EE260" s="61"/>
    </row>
    <row r="261" spans="1:135" s="33" customFormat="1" outlineLevel="1">
      <c r="A261" s="7">
        <f t="shared" si="760"/>
        <v>2026</v>
      </c>
      <c r="B261" s="151">
        <f>Assumptions!B10</f>
        <v>5.3800000000000001E-2</v>
      </c>
      <c r="C261" s="151">
        <f>Assumptions!C10</f>
        <v>5.3800000000000001E-2</v>
      </c>
      <c r="D261" s="151">
        <f>Assumptions!D10</f>
        <v>3.5000000000000003E-2</v>
      </c>
      <c r="E261" s="151">
        <f>Assumptions!E10</f>
        <v>5.2999999999999999E-2</v>
      </c>
      <c r="F261" s="8"/>
      <c r="G261" s="8"/>
      <c r="H261" s="8"/>
      <c r="I261" s="8"/>
      <c r="J261" s="8"/>
      <c r="K261" s="8"/>
      <c r="L261" s="8"/>
      <c r="M261" s="87">
        <f t="shared" si="701"/>
        <v>0</v>
      </c>
      <c r="N261" s="77">
        <f t="shared" si="702"/>
        <v>5.0500000000000003E-2</v>
      </c>
      <c r="O261" s="87">
        <f>IF($A261&gt;'Debt Service'!M$58, 0, SUM(M261:M$295)*N261*M$63/M$64+SUM(M262:M$295)*(M$64-M$63)/M$64*N261)</f>
        <v>309741.75</v>
      </c>
      <c r="P261" s="35"/>
      <c r="Q261" s="87">
        <f t="shared" si="703"/>
        <v>0</v>
      </c>
      <c r="R261" s="77">
        <f t="shared" si="704"/>
        <v>5.0500000000000003E-2</v>
      </c>
      <c r="S261" s="87">
        <f>IF($A261&gt;'Debt Service'!Q$58, 0, SUM(Q261:Q$295)*R261*Q$63/Q$64+SUM(Q262:Q$295)*(Q$64-Q$63)/Q$64*R261)</f>
        <v>454500</v>
      </c>
      <c r="T261" s="35"/>
      <c r="U261" s="87">
        <f t="shared" si="705"/>
        <v>0</v>
      </c>
      <c r="V261" s="35">
        <f t="shared" si="706"/>
        <v>764241.75</v>
      </c>
      <c r="W261" s="35"/>
      <c r="X261" s="87">
        <f t="shared" si="707"/>
        <v>0</v>
      </c>
      <c r="Y261" s="77">
        <f t="shared" si="708"/>
        <v>5.1299999999999998E-2</v>
      </c>
      <c r="Z261" s="87">
        <f>IF($A261&gt;'Debt Service'!X$58, 0, SUM(X261:X$295)*Y261*X$63/X$64+SUM(X262:X$295)*(X$64-X$63)/X$64*Y261)</f>
        <v>10135930.949999999</v>
      </c>
      <c r="AA261" s="87"/>
      <c r="AB261" s="87">
        <f t="shared" si="709"/>
        <v>0</v>
      </c>
      <c r="AC261" s="77">
        <f t="shared" si="710"/>
        <v>4.6700000000000005E-2</v>
      </c>
      <c r="AD261" s="87">
        <f>(SUM(AB261:AB$295)*AC261*AB$63/AB$64+SUM(AB262:AB$295)*(AB$64-AB$63)/AB$64*AC261)</f>
        <v>5253750.0000000009</v>
      </c>
      <c r="AE261" s="35"/>
      <c r="AF261" s="87">
        <f t="shared" si="711"/>
        <v>0</v>
      </c>
      <c r="AG261" s="77">
        <f t="shared" si="712"/>
        <v>4.6710000000000002E-2</v>
      </c>
      <c r="AH261" s="87">
        <f>(SUM(AF261:AF$295)*AG261*AF$63/AF$64+SUM(AF262:AF$295)*(AF$64-AF$63)/AF$64*AG261)</f>
        <v>436458.23999999999</v>
      </c>
      <c r="AI261" s="35"/>
      <c r="AJ261" s="87">
        <f t="shared" si="713"/>
        <v>0</v>
      </c>
      <c r="AK261" s="77">
        <f t="shared" si="714"/>
        <v>4.6710000000000002E-2</v>
      </c>
      <c r="AL261" s="87">
        <f>IF($A261&gt;'Debt Service'!AJ$58, 0, SUM(AJ261:AJ$295)*AK261*AJ$63/AJ$64+SUM(AJ262:AJ$295)*(AJ$64-AJ$63)/AJ$64*AK261)</f>
        <v>2188830.6</v>
      </c>
      <c r="AM261" s="35"/>
      <c r="AN261" s="87">
        <f t="shared" si="715"/>
        <v>0</v>
      </c>
      <c r="AO261" s="77" t="str">
        <f t="shared" si="716"/>
        <v xml:space="preserve">   </v>
      </c>
      <c r="AP261" s="87">
        <f>IF($A261&gt;'Debt Service'!AN$58, 0, SUM(AN261:AN$295)*AO261*AN$63/AN$64+SUM(AN262:AN$295)*(AN$64-AN$63)/AN$64*AO261)</f>
        <v>0</v>
      </c>
      <c r="AQ261" s="35"/>
      <c r="AR261" s="87">
        <f t="shared" si="717"/>
        <v>0</v>
      </c>
      <c r="AS261" s="77">
        <f t="shared" si="718"/>
        <v>4.6710000000000002E-2</v>
      </c>
      <c r="AT261" s="87">
        <f>IF($A261&gt;'Debt Service'!AR$58, 0, SUM(AR261:AR$295)*AS261*AR$63/AR$64+SUM(AR262:AR$295)*(AR$64-AR$63)/AR$64*AS261)</f>
        <v>2196677.88</v>
      </c>
      <c r="AV261" s="35">
        <f t="shared" si="719"/>
        <v>0</v>
      </c>
      <c r="AW261" s="35">
        <f t="shared" si="720"/>
        <v>4821966.72</v>
      </c>
      <c r="AX261" s="35"/>
      <c r="AY261" s="87">
        <f t="shared" si="721"/>
        <v>0</v>
      </c>
      <c r="AZ261" s="77">
        <f t="shared" si="722"/>
        <v>4.6710000000000002E-2</v>
      </c>
      <c r="BA261" s="87">
        <f>(SUM(AY261:AY$295)*AZ261*AY$63/AY$64+SUM(AY262:AY$295)*(AY$64-AY$63)/AY$64*AZ261)</f>
        <v>440895.69</v>
      </c>
      <c r="BB261" s="61"/>
      <c r="BC261" s="87">
        <f t="shared" si="723"/>
        <v>0</v>
      </c>
      <c r="BD261" s="77">
        <f t="shared" si="724"/>
        <v>4.6710000000000002E-2</v>
      </c>
      <c r="BE261" s="87">
        <f>IF($A261&gt;'Debt Service'!BC$58, 0, SUM(BC261:BC$295)*BD261*BC$63/BC$64+SUM(BC262:BC$295)*(BC$64-BC$63)/BC$64*BD261)</f>
        <v>1326610.71</v>
      </c>
      <c r="BF261" s="61"/>
      <c r="BG261" s="87">
        <f t="shared" si="725"/>
        <v>0</v>
      </c>
      <c r="BH261" s="77">
        <f t="shared" si="726"/>
        <v>4.6710000000000002E-2</v>
      </c>
      <c r="BI261" s="87">
        <f>IF($A261&gt;'Debt Service'!BG$58, 0, SUM(BG261:BG$295)*BH261*BG$63/BG$64+SUM(BG262:BG$295)*(BG$64-BG$63)/BG$64*BH261)</f>
        <v>3312533.0700000003</v>
      </c>
      <c r="BJ261" s="61"/>
      <c r="BK261" s="35">
        <f t="shared" si="761"/>
        <v>0</v>
      </c>
      <c r="BL261" s="35">
        <f t="shared" si="762"/>
        <v>5080039.4700000007</v>
      </c>
      <c r="BM261" s="8"/>
      <c r="BN261" s="87">
        <f t="shared" si="727"/>
        <v>0</v>
      </c>
      <c r="BO261" s="77">
        <f t="shared" si="728"/>
        <v>4.6710000000000002E-2</v>
      </c>
      <c r="BP261" s="87">
        <f>(SUM(BN261:BN$295)*BO261*BN$63/BN$64+SUM(BN262:BN$295)*(BN$64-BN$63)/BN$64*BO261)</f>
        <v>0</v>
      </c>
      <c r="BQ261" s="77"/>
      <c r="BR261" s="87">
        <f t="shared" si="729"/>
        <v>0</v>
      </c>
      <c r="BS261" s="77">
        <f t="shared" si="730"/>
        <v>4.6710000000000002E-2</v>
      </c>
      <c r="BT261" s="87">
        <f>IF($A261&gt;'Debt Service'!BR$58, 0, SUM(BR261:BR$295)*BS261*BR$63/BR$64+SUM(BR262:BR$295)*(BR$64-BR$63)/BR$64*BS261)</f>
        <v>3343128.12</v>
      </c>
      <c r="BU261" s="87"/>
      <c r="BV261" s="35">
        <f t="shared" si="763"/>
        <v>0</v>
      </c>
      <c r="BW261" s="35">
        <f t="shared" si="764"/>
        <v>3343128.12</v>
      </c>
      <c r="BX261" s="87"/>
      <c r="BY261" s="87">
        <f t="shared" si="731"/>
        <v>0</v>
      </c>
      <c r="BZ261" s="77">
        <f t="shared" si="732"/>
        <v>4.6710000000000002E-2</v>
      </c>
      <c r="CA261" s="87">
        <f>(SUM(BY261:BY$295)*BZ261*BY$63/BY$64+SUM(BY262:BY$295)*(BY$64-BY$63)/BY$64*BZ261)</f>
        <v>2014508.8800000001</v>
      </c>
      <c r="CB261" s="87"/>
      <c r="CC261" s="87">
        <f t="shared" si="733"/>
        <v>0</v>
      </c>
      <c r="CD261" s="77">
        <f t="shared" si="734"/>
        <v>4.6710000000000002E-2</v>
      </c>
      <c r="CE261" s="87">
        <f>IF(OR($A261&gt;'Debt Service'!CC$58,$A261&lt;CC$51), 0, SUM(CC261:CC$295)*CD261*CC$63/CC$64+SUM(CC262:CC$295)*(CC$64-CC$63)/CC$64*CD261)</f>
        <v>219069.9</v>
      </c>
      <c r="CF261" s="87"/>
      <c r="CG261" s="87">
        <f t="shared" si="735"/>
        <v>0</v>
      </c>
      <c r="CH261" s="77">
        <f t="shared" si="736"/>
        <v>4.6710000000000002E-2</v>
      </c>
      <c r="CI261" s="87">
        <f>IF(OR($A261&gt;'Debt Service'!CG$58,$A261&lt;CG$51), 0, SUM(CG261:CG$295)*CH261*CG$63/CG$64+SUM(CG262:CG$295)*(CG$64-CG$63)/CG$64*CH261)</f>
        <v>3354852.33</v>
      </c>
      <c r="CJ261" s="87"/>
      <c r="CK261" s="87">
        <f t="shared" si="737"/>
        <v>0</v>
      </c>
      <c r="CL261" s="77">
        <f t="shared" si="738"/>
        <v>4.6710000000000002E-2</v>
      </c>
      <c r="CM261" s="87">
        <f>IF(OR($A261&gt;'Debt Service'!CK$58,$A261&lt;CK$51), 0, SUM(CK261:CK$295)*CL261*CK$63/CK$64+SUM(CK262:CK$295)*(CK$64-CK$63)/CK$64*CL261)</f>
        <v>3351582.6300000004</v>
      </c>
      <c r="CN261" s="87"/>
      <c r="CO261" s="162">
        <f t="shared" si="739"/>
        <v>0</v>
      </c>
      <c r="CP261" s="87">
        <f t="shared" si="740"/>
        <v>6925504.8600000003</v>
      </c>
      <c r="CQ261" s="8"/>
      <c r="CR261" s="87">
        <f t="shared" si="741"/>
        <v>0</v>
      </c>
      <c r="CS261" s="77">
        <f t="shared" si="742"/>
        <v>4.6710000000000002E-2</v>
      </c>
      <c r="CT261" s="87">
        <f>IF(OR($A261&gt;'Debt Service'!CR$58,$A261&lt;CR$51), 0, SUM(CR261:CR$295)*CS261*CR$63/CR$64+SUM(CR262:CR$295)*(CR$64-CR$63)/CR$64*CS261)</f>
        <v>980536.32000000007</v>
      </c>
      <c r="CU261" s="87"/>
      <c r="CV261" s="87">
        <f t="shared" si="743"/>
        <v>0</v>
      </c>
      <c r="CW261" s="77">
        <f t="shared" si="744"/>
        <v>4.6710000000000002E-2</v>
      </c>
      <c r="CX261" s="87">
        <f>IF(OR($A261&gt;'Debt Service'!CV$58,$A261&lt;CV$51), 0, SUM(CV261:CV$295)*CW261*CV$63/CV$64+SUM(CV262:CV$295)*(CV$64-CV$63)/CV$64*CW261)</f>
        <v>3345416.91</v>
      </c>
      <c r="CY261" s="87"/>
      <c r="CZ261" s="165">
        <f t="shared" si="745"/>
        <v>0</v>
      </c>
      <c r="DA261" s="165">
        <f t="shared" si="746"/>
        <v>4325953.2300000004</v>
      </c>
      <c r="DB261" s="87"/>
      <c r="DC261" s="87">
        <f t="shared" si="747"/>
        <v>0</v>
      </c>
      <c r="DD261" s="77">
        <f t="shared" si="748"/>
        <v>4.6710000000000002E-2</v>
      </c>
      <c r="DE261" s="87">
        <f>IF($A261&gt;'Debt Service'!DC$58, 0, SUM(DC261:DC$295)*DD261*DC$63/DC$64+SUM(DC262:DC$295)*(DC$64-DC$63)/DC$64*DD261)</f>
        <v>6238867.8600000003</v>
      </c>
      <c r="DF261" s="87"/>
      <c r="DG261" s="87">
        <f t="shared" si="749"/>
        <v>0</v>
      </c>
      <c r="DH261" s="77">
        <f t="shared" si="750"/>
        <v>4.6710000000000002E-2</v>
      </c>
      <c r="DI261" s="87">
        <f>IF($A261&gt;'Debt Service'!DG$58, 0, SUM(DG261:DG$295)*DH261*DG$63/DG$64+SUM(DG262:DG$295)*(DG$64-DG$63)/DG$64*DH261)</f>
        <v>0</v>
      </c>
      <c r="DJ261" s="87"/>
      <c r="DK261" s="87">
        <f t="shared" si="751"/>
        <v>0</v>
      </c>
      <c r="DL261" s="77">
        <f t="shared" si="752"/>
        <v>4.6710000000000002E-2</v>
      </c>
      <c r="DM261" s="87">
        <f>IF($A261&gt;'Debt Service'!DK$58, 0, SUM(DK261:DK$295)*DL261*DK$63/DK$64+SUM(DK262:DK$295)*(DK$64-DK$63)/DK$64*DL261)</f>
        <v>0</v>
      </c>
      <c r="DN261" s="87"/>
      <c r="DO261" s="87">
        <f t="shared" si="753"/>
        <v>0</v>
      </c>
      <c r="DP261" s="77">
        <f t="shared" si="754"/>
        <v>4.6710000000000002E-2</v>
      </c>
      <c r="DQ261" s="87">
        <f>IF($A261&gt;'Debt Service'!DO$58, 0, SUM(DO261:DO$295)*DP261*DO$63/DO$64+SUM(DO262:DO$295)*(DO$64-DO$63)/DO$64*DP261)</f>
        <v>0</v>
      </c>
      <c r="DR261" s="87"/>
      <c r="DS261" s="87">
        <f t="shared" si="755"/>
        <v>0</v>
      </c>
      <c r="DT261" s="77">
        <f t="shared" si="756"/>
        <v>4.6710000000000002E-2</v>
      </c>
      <c r="DU261" s="87">
        <f>IF($A261&gt;'Debt Service'!DS$58, 0, SUM(DS261:DS$295)*DT261*DS$63/DS$64+SUM(DS262:DS$295)*(DS$64-DS$63)/DS$64*DT261)</f>
        <v>0</v>
      </c>
      <c r="DV261" s="8"/>
      <c r="DW261" s="165">
        <f t="shared" si="765"/>
        <v>0</v>
      </c>
      <c r="DX261" s="165">
        <f t="shared" si="766"/>
        <v>32749969.140000004</v>
      </c>
      <c r="DY261" s="8"/>
      <c r="DZ261" s="53">
        <f t="shared" si="757"/>
        <v>2026</v>
      </c>
      <c r="EA261" s="35">
        <f t="shared" si="758"/>
        <v>0</v>
      </c>
      <c r="EB261" s="35">
        <f t="shared" si="759"/>
        <v>38767960.890000008</v>
      </c>
      <c r="EC261" s="77">
        <f>IF($A261&gt;2042, VLOOKUP($A261, Assumptions!$A$8:$D$44, Assumptions!$D$1, FALSE) +'Debt Service'!DS$307, MAX(EB261/SUM(EA261:EA$295), EC262))</f>
        <v>4.6710000000000002E-2</v>
      </c>
      <c r="ED261" s="172">
        <f t="shared" si="767"/>
        <v>3</v>
      </c>
      <c r="EE261" s="61"/>
    </row>
    <row r="262" spans="1:135" s="33" customFormat="1" outlineLevel="1">
      <c r="A262" s="7">
        <f t="shared" si="760"/>
        <v>2027</v>
      </c>
      <c r="B262" s="151">
        <f>Assumptions!B11</f>
        <v>5.3800000000000001E-2</v>
      </c>
      <c r="C262" s="151">
        <f>Assumptions!C11</f>
        <v>5.3800000000000001E-2</v>
      </c>
      <c r="D262" s="151">
        <f>Assumptions!D11</f>
        <v>3.5000000000000003E-2</v>
      </c>
      <c r="E262" s="151">
        <f>Assumptions!E11</f>
        <v>5.2999999999999999E-2</v>
      </c>
      <c r="F262" s="8"/>
      <c r="G262" s="8"/>
      <c r="H262" s="8"/>
      <c r="I262" s="8"/>
      <c r="J262" s="8"/>
      <c r="K262" s="8"/>
      <c r="L262" s="8"/>
      <c r="M262" s="87">
        <f t="shared" si="701"/>
        <v>6133500</v>
      </c>
      <c r="N262" s="77">
        <f t="shared" si="702"/>
        <v>5.0500000000000003E-2</v>
      </c>
      <c r="O262" s="87">
        <f>IF($A262&gt;'Debt Service'!M$58, 0, SUM(M262:M$295)*N262*M$63/M$64+SUM(M263:M$295)*(M$64-M$63)/M$64*N262)</f>
        <v>309741.75</v>
      </c>
      <c r="P262" s="35"/>
      <c r="Q262" s="87">
        <f t="shared" si="703"/>
        <v>9000000</v>
      </c>
      <c r="R262" s="77">
        <f t="shared" si="704"/>
        <v>5.0500000000000003E-2</v>
      </c>
      <c r="S262" s="87">
        <f>IF($A262&gt;'Debt Service'!Q$58, 0, SUM(Q262:Q$295)*R262*Q$63/Q$64+SUM(Q263:Q$295)*(Q$64-Q$63)/Q$64*R262)</f>
        <v>454500</v>
      </c>
      <c r="T262" s="35"/>
      <c r="U262" s="87">
        <f t="shared" si="705"/>
        <v>15133500</v>
      </c>
      <c r="V262" s="35">
        <f t="shared" si="706"/>
        <v>764241.75</v>
      </c>
      <c r="W262" s="35"/>
      <c r="X262" s="87">
        <f t="shared" si="707"/>
        <v>0</v>
      </c>
      <c r="Y262" s="77">
        <f t="shared" si="708"/>
        <v>5.1299999999999998E-2</v>
      </c>
      <c r="Z262" s="87">
        <f>IF($A262&gt;'Debt Service'!X$58, 0, SUM(X262:X$295)*Y262*X$63/X$64+SUM(X263:X$295)*(X$64-X$63)/X$64*Y262)</f>
        <v>10135930.949999999</v>
      </c>
      <c r="AA262" s="87"/>
      <c r="AB262" s="87">
        <f t="shared" si="709"/>
        <v>0</v>
      </c>
      <c r="AC262" s="77">
        <f t="shared" si="710"/>
        <v>4.6700000000000005E-2</v>
      </c>
      <c r="AD262" s="87">
        <f>(SUM(AB262:AB$295)*AC262*AB$63/AB$64+SUM(AB263:AB$295)*(AB$64-AB$63)/AB$64*AC262)</f>
        <v>5253750.0000000009</v>
      </c>
      <c r="AE262" s="35"/>
      <c r="AF262" s="87">
        <f t="shared" si="711"/>
        <v>0</v>
      </c>
      <c r="AG262" s="77">
        <f t="shared" si="712"/>
        <v>4.6710000000000002E-2</v>
      </c>
      <c r="AH262" s="87">
        <f>(SUM(AF262:AF$295)*AG262*AF$63/AF$64+SUM(AF263:AF$295)*(AF$64-AF$63)/AF$64*AG262)</f>
        <v>436458.23999999999</v>
      </c>
      <c r="AI262" s="35"/>
      <c r="AJ262" s="87">
        <f t="shared" si="713"/>
        <v>0</v>
      </c>
      <c r="AK262" s="77">
        <f t="shared" si="714"/>
        <v>4.6710000000000002E-2</v>
      </c>
      <c r="AL262" s="87">
        <f>IF($A262&gt;'Debt Service'!AJ$58, 0, SUM(AJ262:AJ$295)*AK262*AJ$63/AJ$64+SUM(AJ263:AJ$295)*(AJ$64-AJ$63)/AJ$64*AK262)</f>
        <v>2188830.6</v>
      </c>
      <c r="AM262" s="35"/>
      <c r="AN262" s="87">
        <f t="shared" si="715"/>
        <v>0</v>
      </c>
      <c r="AO262" s="77" t="str">
        <f t="shared" si="716"/>
        <v xml:space="preserve">   </v>
      </c>
      <c r="AP262" s="87">
        <f>IF($A262&gt;'Debt Service'!AN$58, 0, SUM(AN262:AN$295)*AO262*AN$63/AN$64+SUM(AN263:AN$295)*(AN$64-AN$63)/AN$64*AO262)</f>
        <v>0</v>
      </c>
      <c r="AQ262" s="35"/>
      <c r="AR262" s="87">
        <f t="shared" si="717"/>
        <v>0</v>
      </c>
      <c r="AS262" s="77">
        <f t="shared" si="718"/>
        <v>4.6710000000000002E-2</v>
      </c>
      <c r="AT262" s="87">
        <f>IF($A262&gt;'Debt Service'!AR$58, 0, SUM(AR262:AR$295)*AS262*AR$63/AR$64+SUM(AR263:AR$295)*(AR$64-AR$63)/AR$64*AS262)</f>
        <v>2196677.88</v>
      </c>
      <c r="AV262" s="35">
        <f t="shared" si="719"/>
        <v>0</v>
      </c>
      <c r="AW262" s="35">
        <f t="shared" si="720"/>
        <v>4821966.72</v>
      </c>
      <c r="AX262" s="35"/>
      <c r="AY262" s="87">
        <f t="shared" si="721"/>
        <v>0</v>
      </c>
      <c r="AZ262" s="77">
        <f t="shared" si="722"/>
        <v>4.6710000000000002E-2</v>
      </c>
      <c r="BA262" s="87">
        <f>(SUM(AY262:AY$295)*AZ262*AY$63/AY$64+SUM(AY263:AY$295)*(AY$64-AY$63)/AY$64*AZ262)</f>
        <v>440895.69</v>
      </c>
      <c r="BB262" s="61"/>
      <c r="BC262" s="87">
        <f t="shared" si="723"/>
        <v>0</v>
      </c>
      <c r="BD262" s="77">
        <f t="shared" si="724"/>
        <v>4.6710000000000002E-2</v>
      </c>
      <c r="BE262" s="87">
        <f>IF($A262&gt;'Debt Service'!BC$58, 0, SUM(BC262:BC$295)*BD262*BC$63/BC$64+SUM(BC263:BC$295)*(BC$64-BC$63)/BC$64*BD262)</f>
        <v>1326610.71</v>
      </c>
      <c r="BF262" s="61"/>
      <c r="BG262" s="87">
        <f t="shared" si="725"/>
        <v>0</v>
      </c>
      <c r="BH262" s="77">
        <f t="shared" si="726"/>
        <v>4.6710000000000002E-2</v>
      </c>
      <c r="BI262" s="87">
        <f>IF($A262&gt;'Debt Service'!BG$58, 0, SUM(BG262:BG$295)*BH262*BG$63/BG$64+SUM(BG263:BG$295)*(BG$64-BG$63)/BG$64*BH262)</f>
        <v>3312533.0700000003</v>
      </c>
      <c r="BJ262" s="61"/>
      <c r="BK262" s="35">
        <f t="shared" si="761"/>
        <v>0</v>
      </c>
      <c r="BL262" s="35">
        <f t="shared" si="762"/>
        <v>5080039.4700000007</v>
      </c>
      <c r="BM262" s="8"/>
      <c r="BN262" s="87">
        <f t="shared" si="727"/>
        <v>0</v>
      </c>
      <c r="BO262" s="77">
        <f t="shared" si="728"/>
        <v>4.6710000000000002E-2</v>
      </c>
      <c r="BP262" s="87">
        <f>(SUM(BN262:BN$295)*BO262*BN$63/BN$64+SUM(BN263:BN$295)*(BN$64-BN$63)/BN$64*BO262)</f>
        <v>0</v>
      </c>
      <c r="BQ262" s="77"/>
      <c r="BR262" s="87">
        <f t="shared" si="729"/>
        <v>0</v>
      </c>
      <c r="BS262" s="77">
        <f t="shared" si="730"/>
        <v>4.6710000000000002E-2</v>
      </c>
      <c r="BT262" s="87">
        <f>IF($A262&gt;'Debt Service'!BR$58, 0, SUM(BR262:BR$295)*BS262*BR$63/BR$64+SUM(BR263:BR$295)*(BR$64-BR$63)/BR$64*BS262)</f>
        <v>3343128.12</v>
      </c>
      <c r="BU262" s="87"/>
      <c r="BV262" s="35">
        <f t="shared" si="763"/>
        <v>0</v>
      </c>
      <c r="BW262" s="35">
        <f t="shared" si="764"/>
        <v>3343128.12</v>
      </c>
      <c r="BX262" s="87"/>
      <c r="BY262" s="87">
        <f t="shared" si="731"/>
        <v>0</v>
      </c>
      <c r="BZ262" s="77">
        <f t="shared" si="732"/>
        <v>4.6710000000000002E-2</v>
      </c>
      <c r="CA262" s="87">
        <f>(SUM(BY262:BY$295)*BZ262*BY$63/BY$64+SUM(BY263:BY$295)*(BY$64-BY$63)/BY$64*BZ262)</f>
        <v>2014508.8800000001</v>
      </c>
      <c r="CB262" s="87"/>
      <c r="CC262" s="87">
        <f t="shared" si="733"/>
        <v>0</v>
      </c>
      <c r="CD262" s="77">
        <f t="shared" si="734"/>
        <v>4.6710000000000002E-2</v>
      </c>
      <c r="CE262" s="87">
        <f>IF(OR($A262&gt;'Debt Service'!CC$58,$A262&lt;CC$51), 0, SUM(CC262:CC$295)*CD262*CC$63/CC$64+SUM(CC263:CC$295)*(CC$64-CC$63)/CC$64*CD262)</f>
        <v>219069.9</v>
      </c>
      <c r="CF262" s="87"/>
      <c r="CG262" s="87">
        <f t="shared" si="735"/>
        <v>0</v>
      </c>
      <c r="CH262" s="77">
        <f t="shared" si="736"/>
        <v>4.6710000000000002E-2</v>
      </c>
      <c r="CI262" s="87">
        <f>IF(OR($A262&gt;'Debt Service'!CG$58,$A262&lt;CG$51), 0, SUM(CG262:CG$295)*CH262*CG$63/CG$64+SUM(CG263:CG$295)*(CG$64-CG$63)/CG$64*CH262)</f>
        <v>3354852.33</v>
      </c>
      <c r="CJ262" s="87"/>
      <c r="CK262" s="87">
        <f t="shared" si="737"/>
        <v>0</v>
      </c>
      <c r="CL262" s="77">
        <f t="shared" si="738"/>
        <v>4.6710000000000002E-2</v>
      </c>
      <c r="CM262" s="87">
        <f>IF(OR($A262&gt;'Debt Service'!CK$58,$A262&lt;CK$51), 0, SUM(CK262:CK$295)*CL262*CK$63/CK$64+SUM(CK263:CK$295)*(CK$64-CK$63)/CK$64*CL262)</f>
        <v>3351582.6300000004</v>
      </c>
      <c r="CN262" s="87"/>
      <c r="CO262" s="162">
        <f t="shared" si="739"/>
        <v>0</v>
      </c>
      <c r="CP262" s="87">
        <f t="shared" si="740"/>
        <v>6925504.8600000003</v>
      </c>
      <c r="CQ262" s="87"/>
      <c r="CR262" s="87">
        <f t="shared" si="741"/>
        <v>0</v>
      </c>
      <c r="CS262" s="77">
        <f t="shared" si="742"/>
        <v>4.6710000000000002E-2</v>
      </c>
      <c r="CT262" s="87">
        <f>IF(OR($A262&gt;'Debt Service'!CR$58,$A262&lt;CR$51), 0, SUM(CR262:CR$295)*CS262*CR$63/CR$64+SUM(CR263:CR$295)*(CR$64-CR$63)/CR$64*CS262)</f>
        <v>980536.32000000007</v>
      </c>
      <c r="CU262" s="87"/>
      <c r="CV262" s="87">
        <f t="shared" si="743"/>
        <v>0</v>
      </c>
      <c r="CW262" s="77">
        <f t="shared" si="744"/>
        <v>4.6710000000000002E-2</v>
      </c>
      <c r="CX262" s="87">
        <f>IF(OR($A262&gt;'Debt Service'!CV$58,$A262&lt;CV$51), 0, SUM(CV262:CV$295)*CW262*CV$63/CV$64+SUM(CV263:CV$295)*(CV$64-CV$63)/CV$64*CW262)</f>
        <v>3345416.91</v>
      </c>
      <c r="CY262" s="87"/>
      <c r="CZ262" s="165">
        <f t="shared" si="745"/>
        <v>0</v>
      </c>
      <c r="DA262" s="165">
        <f t="shared" si="746"/>
        <v>4325953.2300000004</v>
      </c>
      <c r="DB262" s="87"/>
      <c r="DC262" s="87">
        <f t="shared" si="747"/>
        <v>0</v>
      </c>
      <c r="DD262" s="77">
        <f t="shared" si="748"/>
        <v>4.6710000000000002E-2</v>
      </c>
      <c r="DE262" s="87">
        <f>IF($A262&gt;'Debt Service'!DC$58, 0, SUM(DC262:DC$295)*DD262*DC$63/DC$64+SUM(DC263:DC$295)*(DC$64-DC$63)/DC$64*DD262)</f>
        <v>6238867.8600000003</v>
      </c>
      <c r="DF262" s="87"/>
      <c r="DG262" s="87">
        <f t="shared" si="749"/>
        <v>0</v>
      </c>
      <c r="DH262" s="77">
        <f t="shared" si="750"/>
        <v>4.6710000000000002E-2</v>
      </c>
      <c r="DI262" s="87">
        <f>IF($A262&gt;'Debt Service'!DG$58, 0, SUM(DG262:DG$295)*DH262*DG$63/DG$64+SUM(DG263:DG$295)*(DG$64-DG$63)/DG$64*DH262)</f>
        <v>0</v>
      </c>
      <c r="DJ262" s="87"/>
      <c r="DK262" s="87">
        <f t="shared" si="751"/>
        <v>0</v>
      </c>
      <c r="DL262" s="77">
        <f t="shared" si="752"/>
        <v>4.6710000000000002E-2</v>
      </c>
      <c r="DM262" s="87">
        <f>IF($A262&gt;'Debt Service'!DK$58, 0, SUM(DK262:DK$295)*DL262*DK$63/DK$64+SUM(DK263:DK$295)*(DK$64-DK$63)/DK$64*DL262)</f>
        <v>0</v>
      </c>
      <c r="DN262" s="87"/>
      <c r="DO262" s="87">
        <f t="shared" si="753"/>
        <v>0</v>
      </c>
      <c r="DP262" s="77">
        <f t="shared" si="754"/>
        <v>4.6710000000000002E-2</v>
      </c>
      <c r="DQ262" s="87">
        <f>IF($A262&gt;'Debt Service'!DO$58, 0, SUM(DO262:DO$295)*DP262*DO$63/DO$64+SUM(DO263:DO$295)*(DO$64-DO$63)/DO$64*DP262)</f>
        <v>0</v>
      </c>
      <c r="DR262" s="87"/>
      <c r="DS262" s="87">
        <f t="shared" si="755"/>
        <v>0</v>
      </c>
      <c r="DT262" s="77">
        <f t="shared" si="756"/>
        <v>4.6710000000000002E-2</v>
      </c>
      <c r="DU262" s="87">
        <f>IF($A262&gt;'Debt Service'!DS$58, 0, SUM(DS262:DS$295)*DT262*DS$63/DS$64+SUM(DS263:DS$295)*(DS$64-DS$63)/DS$64*DT262)</f>
        <v>0</v>
      </c>
      <c r="DV262" s="87"/>
      <c r="DW262" s="165">
        <f t="shared" si="765"/>
        <v>0</v>
      </c>
      <c r="DX262" s="165">
        <f t="shared" si="766"/>
        <v>32749969.140000004</v>
      </c>
      <c r="DY262" s="87"/>
      <c r="DZ262" s="53">
        <f t="shared" si="757"/>
        <v>2027</v>
      </c>
      <c r="EA262" s="35">
        <f t="shared" si="758"/>
        <v>15133500</v>
      </c>
      <c r="EB262" s="35">
        <f t="shared" si="759"/>
        <v>38767960.890000008</v>
      </c>
      <c r="EC262" s="77">
        <f>IF($A262&gt;2042, VLOOKUP($A262, Assumptions!$A$8:$D$44, Assumptions!$D$1, FALSE) +'Debt Service'!DS$307, MAX(EB262/SUM(EA262:EA$295), EC263))</f>
        <v>4.6710000000000002E-2</v>
      </c>
      <c r="ED262" s="172">
        <f t="shared" si="767"/>
        <v>4</v>
      </c>
      <c r="EE262" s="61"/>
    </row>
    <row r="263" spans="1:135" s="33" customFormat="1" outlineLevel="1">
      <c r="A263" s="7">
        <f t="shared" si="760"/>
        <v>2028</v>
      </c>
      <c r="B263" s="151">
        <f>Assumptions!B12</f>
        <v>5.3800000000000001E-2</v>
      </c>
      <c r="C263" s="151">
        <f>Assumptions!C12</f>
        <v>5.3800000000000001E-2</v>
      </c>
      <c r="D263" s="151">
        <f>Assumptions!D12</f>
        <v>3.5000000000000003E-2</v>
      </c>
      <c r="E263" s="151">
        <f>Assumptions!E12</f>
        <v>5.2999999999999999E-2</v>
      </c>
      <c r="F263" s="8"/>
      <c r="G263" s="8"/>
      <c r="H263" s="8"/>
      <c r="I263" s="8"/>
      <c r="J263" s="8"/>
      <c r="K263" s="8"/>
      <c r="L263" s="8"/>
      <c r="M263" s="87">
        <f t="shared" si="701"/>
        <v>0</v>
      </c>
      <c r="N263" s="77" t="str">
        <f t="shared" si="702"/>
        <v xml:space="preserve">   </v>
      </c>
      <c r="O263" s="87">
        <f>IF($A263&gt;'Debt Service'!M$58, 0, SUM(M263:M$295)*N263*M$63/M$64+SUM(M264:M$295)*(M$64-M$63)/M$64*N263)</f>
        <v>0</v>
      </c>
      <c r="P263" s="35"/>
      <c r="Q263" s="87">
        <f t="shared" si="703"/>
        <v>0</v>
      </c>
      <c r="R263" s="77" t="str">
        <f t="shared" si="704"/>
        <v xml:space="preserve">   </v>
      </c>
      <c r="S263" s="87">
        <f>IF($A263&gt;'Debt Service'!Q$58, 0, SUM(Q263:Q$295)*R263*Q$63/Q$64+SUM(Q264:Q$295)*(Q$64-Q$63)/Q$64*R263)</f>
        <v>0</v>
      </c>
      <c r="T263" s="35"/>
      <c r="U263" s="87">
        <f t="shared" si="705"/>
        <v>0</v>
      </c>
      <c r="V263" s="35">
        <f t="shared" si="706"/>
        <v>0</v>
      </c>
      <c r="W263" s="35"/>
      <c r="X263" s="87">
        <f t="shared" si="707"/>
        <v>197581500</v>
      </c>
      <c r="Y263" s="77">
        <f t="shared" si="708"/>
        <v>5.1299999999999998E-2</v>
      </c>
      <c r="Z263" s="87">
        <f>IF($A263&gt;'Debt Service'!X$58, 0, SUM(X263:X$295)*Y263*X$63/X$64+SUM(X264:X$295)*(X$64-X$63)/X$64*Y263)</f>
        <v>10135930.949999999</v>
      </c>
      <c r="AA263" s="87"/>
      <c r="AB263" s="87">
        <f t="shared" si="709"/>
        <v>0</v>
      </c>
      <c r="AC263" s="77">
        <f t="shared" si="710"/>
        <v>4.6700000000000005E-2</v>
      </c>
      <c r="AD263" s="87">
        <f>(SUM(AB263:AB$295)*AC263*AB$63/AB$64+SUM(AB264:AB$295)*(AB$64-AB$63)/AB$64*AC263)</f>
        <v>5253750.0000000009</v>
      </c>
      <c r="AE263" s="35"/>
      <c r="AF263" s="87">
        <f t="shared" si="711"/>
        <v>0</v>
      </c>
      <c r="AG263" s="77">
        <f t="shared" si="712"/>
        <v>4.6710000000000002E-2</v>
      </c>
      <c r="AH263" s="87">
        <f>(SUM(AF263:AF$295)*AG263*AF$63/AF$64+SUM(AF264:AF$295)*(AF$64-AF$63)/AF$64*AG263)</f>
        <v>436458.23999999999</v>
      </c>
      <c r="AI263" s="35"/>
      <c r="AJ263" s="87">
        <f t="shared" si="713"/>
        <v>0</v>
      </c>
      <c r="AK263" s="77">
        <f t="shared" si="714"/>
        <v>4.6710000000000002E-2</v>
      </c>
      <c r="AL263" s="87">
        <f>IF($A263&gt;'Debt Service'!AJ$58, 0, SUM(AJ263:AJ$295)*AK263*AJ$63/AJ$64+SUM(AJ264:AJ$295)*(AJ$64-AJ$63)/AJ$64*AK263)</f>
        <v>2188830.6</v>
      </c>
      <c r="AM263" s="35"/>
      <c r="AN263" s="87">
        <f t="shared" si="715"/>
        <v>0</v>
      </c>
      <c r="AO263" s="77" t="str">
        <f t="shared" si="716"/>
        <v xml:space="preserve">   </v>
      </c>
      <c r="AP263" s="87">
        <f>IF($A263&gt;'Debt Service'!AN$58, 0, SUM(AN263:AN$295)*AO263*AN$63/AN$64+SUM(AN264:AN$295)*(AN$64-AN$63)/AN$64*AO263)</f>
        <v>0</v>
      </c>
      <c r="AQ263" s="35"/>
      <c r="AR263" s="87">
        <f t="shared" si="717"/>
        <v>0</v>
      </c>
      <c r="AS263" s="77">
        <f t="shared" si="718"/>
        <v>4.6710000000000002E-2</v>
      </c>
      <c r="AT263" s="87">
        <f>IF($A263&gt;'Debt Service'!AR$58, 0, SUM(AR263:AR$295)*AS263*AR$63/AR$64+SUM(AR264:AR$295)*(AR$64-AR$63)/AR$64*AS263)</f>
        <v>2196677.88</v>
      </c>
      <c r="AV263" s="35">
        <f t="shared" si="719"/>
        <v>0</v>
      </c>
      <c r="AW263" s="35">
        <f t="shared" si="720"/>
        <v>4821966.72</v>
      </c>
      <c r="AX263" s="35"/>
      <c r="AY263" s="87">
        <f t="shared" si="721"/>
        <v>0</v>
      </c>
      <c r="AZ263" s="77">
        <f t="shared" si="722"/>
        <v>4.6710000000000002E-2</v>
      </c>
      <c r="BA263" s="87">
        <f>(SUM(AY263:AY$295)*AZ263*AY$63/AY$64+SUM(AY264:AY$295)*(AY$64-AY$63)/AY$64*AZ263)</f>
        <v>440895.69</v>
      </c>
      <c r="BB263" s="61"/>
      <c r="BC263" s="87">
        <f t="shared" si="723"/>
        <v>0</v>
      </c>
      <c r="BD263" s="77">
        <f t="shared" si="724"/>
        <v>4.6710000000000002E-2</v>
      </c>
      <c r="BE263" s="87">
        <f>IF($A263&gt;'Debt Service'!BC$58, 0, SUM(BC263:BC$295)*BD263*BC$63/BC$64+SUM(BC264:BC$295)*(BC$64-BC$63)/BC$64*BD263)</f>
        <v>1326610.71</v>
      </c>
      <c r="BF263" s="61"/>
      <c r="BG263" s="87">
        <f t="shared" si="725"/>
        <v>0</v>
      </c>
      <c r="BH263" s="77">
        <f t="shared" si="726"/>
        <v>4.6710000000000002E-2</v>
      </c>
      <c r="BI263" s="87">
        <f>IF($A263&gt;'Debt Service'!BG$58, 0, SUM(BG263:BG$295)*BH263*BG$63/BG$64+SUM(BG264:BG$295)*(BG$64-BG$63)/BG$64*BH263)</f>
        <v>3312533.0700000003</v>
      </c>
      <c r="BJ263" s="61"/>
      <c r="BK263" s="35">
        <f t="shared" si="761"/>
        <v>0</v>
      </c>
      <c r="BL263" s="35">
        <f t="shared" si="762"/>
        <v>5080039.4700000007</v>
      </c>
      <c r="BM263" s="8"/>
      <c r="BN263" s="87">
        <f t="shared" si="727"/>
        <v>0</v>
      </c>
      <c r="BO263" s="77">
        <f t="shared" si="728"/>
        <v>4.6710000000000002E-2</v>
      </c>
      <c r="BP263" s="87">
        <f>(SUM(BN263:BN$295)*BO263*BN$63/BN$64+SUM(BN264:BN$295)*(BN$64-BN$63)/BN$64*BO263)</f>
        <v>0</v>
      </c>
      <c r="BQ263" s="77"/>
      <c r="BR263" s="87">
        <f t="shared" si="729"/>
        <v>0</v>
      </c>
      <c r="BS263" s="77">
        <f t="shared" si="730"/>
        <v>4.6710000000000002E-2</v>
      </c>
      <c r="BT263" s="87">
        <f>IF($A263&gt;'Debt Service'!BR$58, 0, SUM(BR263:BR$295)*BS263*BR$63/BR$64+SUM(BR264:BR$295)*(BR$64-BR$63)/BR$64*BS263)</f>
        <v>3343128.12</v>
      </c>
      <c r="BU263" s="87"/>
      <c r="BV263" s="35">
        <f t="shared" si="763"/>
        <v>0</v>
      </c>
      <c r="BW263" s="35">
        <f t="shared" si="764"/>
        <v>3343128.12</v>
      </c>
      <c r="BX263" s="87"/>
      <c r="BY263" s="87">
        <f t="shared" si="731"/>
        <v>0</v>
      </c>
      <c r="BZ263" s="77">
        <f t="shared" si="732"/>
        <v>4.6710000000000002E-2</v>
      </c>
      <c r="CA263" s="87">
        <f>(SUM(BY263:BY$295)*BZ263*BY$63/BY$64+SUM(BY264:BY$295)*(BY$64-BY$63)/BY$64*BZ263)</f>
        <v>2014508.8800000001</v>
      </c>
      <c r="CB263" s="87"/>
      <c r="CC263" s="87">
        <f t="shared" si="733"/>
        <v>0</v>
      </c>
      <c r="CD263" s="77">
        <f t="shared" si="734"/>
        <v>4.6710000000000002E-2</v>
      </c>
      <c r="CE263" s="87">
        <f>IF(OR($A263&gt;'Debt Service'!CC$58,$A263&lt;CC$51), 0, SUM(CC263:CC$295)*CD263*CC$63/CC$64+SUM(CC264:CC$295)*(CC$64-CC$63)/CC$64*CD263)</f>
        <v>219069.9</v>
      </c>
      <c r="CF263" s="87"/>
      <c r="CG263" s="87">
        <f t="shared" si="735"/>
        <v>0</v>
      </c>
      <c r="CH263" s="77">
        <f t="shared" si="736"/>
        <v>4.6710000000000002E-2</v>
      </c>
      <c r="CI263" s="87">
        <f>IF(OR($A263&gt;'Debt Service'!CG$58,$A263&lt;CG$51), 0, SUM(CG263:CG$295)*CH263*CG$63/CG$64+SUM(CG264:CG$295)*(CG$64-CG$63)/CG$64*CH263)</f>
        <v>3354852.33</v>
      </c>
      <c r="CJ263" s="87"/>
      <c r="CK263" s="87">
        <f t="shared" si="737"/>
        <v>0</v>
      </c>
      <c r="CL263" s="77">
        <f t="shared" si="738"/>
        <v>4.6710000000000002E-2</v>
      </c>
      <c r="CM263" s="87">
        <f>IF(OR($A263&gt;'Debt Service'!CK$58,$A263&lt;CK$51), 0, SUM(CK263:CK$295)*CL263*CK$63/CK$64+SUM(CK264:CK$295)*(CK$64-CK$63)/CK$64*CL263)</f>
        <v>3351582.6300000004</v>
      </c>
      <c r="CN263" s="87"/>
      <c r="CO263" s="162">
        <f t="shared" si="739"/>
        <v>0</v>
      </c>
      <c r="CP263" s="87">
        <f t="shared" si="740"/>
        <v>6925504.8600000003</v>
      </c>
      <c r="CQ263" s="87"/>
      <c r="CR263" s="87">
        <f t="shared" si="741"/>
        <v>0</v>
      </c>
      <c r="CS263" s="77">
        <f t="shared" si="742"/>
        <v>4.6710000000000002E-2</v>
      </c>
      <c r="CT263" s="87">
        <f>IF(OR($A263&gt;'Debt Service'!CR$58,$A263&lt;CR$51), 0, SUM(CR263:CR$295)*CS263*CR$63/CR$64+SUM(CR264:CR$295)*(CR$64-CR$63)/CR$64*CS263)</f>
        <v>980536.32000000007</v>
      </c>
      <c r="CU263" s="87"/>
      <c r="CV263" s="87">
        <f t="shared" si="743"/>
        <v>0</v>
      </c>
      <c r="CW263" s="77">
        <f t="shared" si="744"/>
        <v>4.6710000000000002E-2</v>
      </c>
      <c r="CX263" s="87">
        <f>IF(OR($A263&gt;'Debt Service'!CV$58,$A263&lt;CV$51), 0, SUM(CV263:CV$295)*CW263*CV$63/CV$64+SUM(CV264:CV$295)*(CV$64-CV$63)/CV$64*CW263)</f>
        <v>3345416.91</v>
      </c>
      <c r="CY263" s="87"/>
      <c r="CZ263" s="165">
        <f t="shared" si="745"/>
        <v>0</v>
      </c>
      <c r="DA263" s="165">
        <f t="shared" si="746"/>
        <v>4325953.2300000004</v>
      </c>
      <c r="DB263" s="87"/>
      <c r="DC263" s="87">
        <f t="shared" si="747"/>
        <v>0</v>
      </c>
      <c r="DD263" s="77">
        <f t="shared" si="748"/>
        <v>4.6710000000000002E-2</v>
      </c>
      <c r="DE263" s="87">
        <f>IF($A263&gt;'Debt Service'!DC$58, 0, SUM(DC263:DC$295)*DD263*DC$63/DC$64+SUM(DC264:DC$295)*(DC$64-DC$63)/DC$64*DD263)</f>
        <v>6238867.8600000003</v>
      </c>
      <c r="DF263" s="87"/>
      <c r="DG263" s="87">
        <f t="shared" si="749"/>
        <v>0</v>
      </c>
      <c r="DH263" s="77">
        <f t="shared" si="750"/>
        <v>4.6710000000000002E-2</v>
      </c>
      <c r="DI263" s="87">
        <f>IF($A263&gt;'Debt Service'!DG$58, 0, SUM(DG263:DG$295)*DH263*DG$63/DG$64+SUM(DG264:DG$295)*(DG$64-DG$63)/DG$64*DH263)</f>
        <v>0</v>
      </c>
      <c r="DJ263" s="87"/>
      <c r="DK263" s="87">
        <f t="shared" si="751"/>
        <v>0</v>
      </c>
      <c r="DL263" s="77">
        <f t="shared" si="752"/>
        <v>4.6710000000000002E-2</v>
      </c>
      <c r="DM263" s="87">
        <f>IF($A263&gt;'Debt Service'!DK$58, 0, SUM(DK263:DK$295)*DL263*DK$63/DK$64+SUM(DK264:DK$295)*(DK$64-DK$63)/DK$64*DL263)</f>
        <v>0</v>
      </c>
      <c r="DN263" s="87"/>
      <c r="DO263" s="87">
        <f t="shared" si="753"/>
        <v>0</v>
      </c>
      <c r="DP263" s="77">
        <f t="shared" si="754"/>
        <v>4.6710000000000002E-2</v>
      </c>
      <c r="DQ263" s="87">
        <f>IF($A263&gt;'Debt Service'!DO$58, 0, SUM(DO263:DO$295)*DP263*DO$63/DO$64+SUM(DO264:DO$295)*(DO$64-DO$63)/DO$64*DP263)</f>
        <v>0</v>
      </c>
      <c r="DR263" s="87"/>
      <c r="DS263" s="87">
        <f t="shared" si="755"/>
        <v>0</v>
      </c>
      <c r="DT263" s="77">
        <f t="shared" si="756"/>
        <v>4.6710000000000002E-2</v>
      </c>
      <c r="DU263" s="87">
        <f>IF($A263&gt;'Debt Service'!DS$58, 0, SUM(DS263:DS$295)*DT263*DS$63/DS$64+SUM(DS264:DS$295)*(DS$64-DS$63)/DS$64*DT263)</f>
        <v>0</v>
      </c>
      <c r="DV263" s="87"/>
      <c r="DW263" s="165">
        <f t="shared" si="765"/>
        <v>0</v>
      </c>
      <c r="DX263" s="165">
        <f t="shared" si="766"/>
        <v>32749969.140000004</v>
      </c>
      <c r="DY263" s="87"/>
      <c r="DZ263" s="53">
        <f t="shared" si="757"/>
        <v>2028</v>
      </c>
      <c r="EA263" s="35">
        <f t="shared" si="758"/>
        <v>197581500</v>
      </c>
      <c r="EB263" s="35">
        <f t="shared" si="759"/>
        <v>38003719.140000008</v>
      </c>
      <c r="EC263" s="77">
        <f>IF($A263&gt;2042, VLOOKUP($A263, Assumptions!$A$8:$D$44, Assumptions!$D$1, FALSE) +'Debt Service'!DS$307, MAX(EB263/SUM(EA263:EA$295), EC264))</f>
        <v>4.6710000000000002E-2</v>
      </c>
      <c r="ED263" s="172">
        <f t="shared" si="767"/>
        <v>5</v>
      </c>
      <c r="EE263" s="61"/>
    </row>
    <row r="264" spans="1:135" s="33" customFormat="1" outlineLevel="1">
      <c r="A264" s="7">
        <f t="shared" si="760"/>
        <v>2029</v>
      </c>
      <c r="B264" s="151">
        <f>Assumptions!B13</f>
        <v>5.3800000000000001E-2</v>
      </c>
      <c r="C264" s="151">
        <f>Assumptions!C13</f>
        <v>5.3800000000000001E-2</v>
      </c>
      <c r="D264" s="151">
        <f>Assumptions!D13</f>
        <v>3.5000000000000003E-2</v>
      </c>
      <c r="E264" s="151">
        <f>Assumptions!E13</f>
        <v>5.2999999999999999E-2</v>
      </c>
      <c r="F264" s="8"/>
      <c r="G264" s="8"/>
      <c r="H264" s="8"/>
      <c r="I264" s="8"/>
      <c r="J264" s="8"/>
      <c r="K264" s="8"/>
      <c r="L264" s="8"/>
      <c r="M264" s="87">
        <f t="shared" si="701"/>
        <v>0</v>
      </c>
      <c r="N264" s="77" t="str">
        <f t="shared" si="702"/>
        <v xml:space="preserve">   </v>
      </c>
      <c r="O264" s="87">
        <f>IF($A264&gt;'Debt Service'!M$58, 0, SUM(M264:M$295)*N264*M$63/M$64+SUM(M265:M$295)*(M$64-M$63)/M$64*N264)</f>
        <v>0</v>
      </c>
      <c r="P264" s="35"/>
      <c r="Q264" s="87">
        <f t="shared" si="703"/>
        <v>0</v>
      </c>
      <c r="R264" s="77" t="str">
        <f t="shared" si="704"/>
        <v xml:space="preserve">   </v>
      </c>
      <c r="S264" s="87">
        <f>IF($A264&gt;'Debt Service'!Q$58, 0, SUM(Q264:Q$295)*R264*Q$63/Q$64+SUM(Q265:Q$295)*(Q$64-Q$63)/Q$64*R264)</f>
        <v>0</v>
      </c>
      <c r="T264" s="35"/>
      <c r="U264" s="87">
        <f t="shared" si="705"/>
        <v>0</v>
      </c>
      <c r="V264" s="35">
        <f t="shared" si="706"/>
        <v>0</v>
      </c>
      <c r="W264" s="35"/>
      <c r="X264" s="87">
        <f t="shared" si="707"/>
        <v>0</v>
      </c>
      <c r="Y264" s="77" t="str">
        <f t="shared" si="708"/>
        <v xml:space="preserve">   </v>
      </c>
      <c r="Z264" s="87">
        <f>IF($A264&gt;'Debt Service'!X$58, 0, SUM(X264:X$295)*Y264*X$63/X$64+SUM(X265:X$295)*(X$64-X$63)/X$64*Y264)</f>
        <v>0</v>
      </c>
      <c r="AA264" s="87"/>
      <c r="AB264" s="87">
        <f t="shared" si="709"/>
        <v>0</v>
      </c>
      <c r="AC264" s="77">
        <f t="shared" si="710"/>
        <v>4.6700000000000005E-2</v>
      </c>
      <c r="AD264" s="87">
        <f>(SUM(AB264:AB$295)*AC264*AB$63/AB$64+SUM(AB265:AB$295)*(AB$64-AB$63)/AB$64*AC264)</f>
        <v>5253750.0000000009</v>
      </c>
      <c r="AE264" s="35"/>
      <c r="AF264" s="87">
        <f t="shared" si="711"/>
        <v>0</v>
      </c>
      <c r="AG264" s="77">
        <f t="shared" si="712"/>
        <v>4.6710000000000002E-2</v>
      </c>
      <c r="AH264" s="87">
        <f>(SUM(AF264:AF$295)*AG264*AF$63/AF$64+SUM(AF265:AF$295)*(AF$64-AF$63)/AF$64*AG264)</f>
        <v>436458.23999999999</v>
      </c>
      <c r="AI264" s="35"/>
      <c r="AJ264" s="87">
        <f t="shared" si="713"/>
        <v>0</v>
      </c>
      <c r="AK264" s="77">
        <f t="shared" si="714"/>
        <v>4.6710000000000002E-2</v>
      </c>
      <c r="AL264" s="87">
        <f>IF($A264&gt;'Debt Service'!AJ$58, 0, SUM(AJ264:AJ$295)*AK264*AJ$63/AJ$64+SUM(AJ265:AJ$295)*(AJ$64-AJ$63)/AJ$64*AK264)</f>
        <v>2188830.6</v>
      </c>
      <c r="AM264" s="35"/>
      <c r="AN264" s="87">
        <f t="shared" si="715"/>
        <v>0</v>
      </c>
      <c r="AO264" s="77" t="str">
        <f t="shared" si="716"/>
        <v xml:space="preserve">   </v>
      </c>
      <c r="AP264" s="87">
        <f>IF($A264&gt;'Debt Service'!AN$58, 0, SUM(AN264:AN$295)*AO264*AN$63/AN$64+SUM(AN265:AN$295)*(AN$64-AN$63)/AN$64*AO264)</f>
        <v>0</v>
      </c>
      <c r="AQ264" s="35"/>
      <c r="AR264" s="87">
        <f t="shared" si="717"/>
        <v>0</v>
      </c>
      <c r="AS264" s="77">
        <f t="shared" si="718"/>
        <v>4.6710000000000002E-2</v>
      </c>
      <c r="AT264" s="87">
        <f>IF($A264&gt;'Debt Service'!AR$58, 0, SUM(AR264:AR$295)*AS264*AR$63/AR$64+SUM(AR265:AR$295)*(AR$64-AR$63)/AR$64*AS264)</f>
        <v>2196677.88</v>
      </c>
      <c r="AV264" s="35">
        <f t="shared" si="719"/>
        <v>0</v>
      </c>
      <c r="AW264" s="35">
        <f t="shared" si="720"/>
        <v>4821966.72</v>
      </c>
      <c r="AX264" s="35"/>
      <c r="AY264" s="87">
        <f t="shared" si="721"/>
        <v>0</v>
      </c>
      <c r="AZ264" s="77">
        <f t="shared" si="722"/>
        <v>4.6710000000000002E-2</v>
      </c>
      <c r="BA264" s="87">
        <f>(SUM(AY264:AY$295)*AZ264*AY$63/AY$64+SUM(AY265:AY$295)*(AY$64-AY$63)/AY$64*AZ264)</f>
        <v>440895.69</v>
      </c>
      <c r="BB264" s="61"/>
      <c r="BC264" s="87">
        <f t="shared" si="723"/>
        <v>0</v>
      </c>
      <c r="BD264" s="77">
        <f t="shared" si="724"/>
        <v>4.6710000000000002E-2</v>
      </c>
      <c r="BE264" s="87">
        <f>IF($A264&gt;'Debt Service'!BC$58, 0, SUM(BC264:BC$295)*BD264*BC$63/BC$64+SUM(BC265:BC$295)*(BC$64-BC$63)/BC$64*BD264)</f>
        <v>1326610.71</v>
      </c>
      <c r="BF264" s="61"/>
      <c r="BG264" s="87">
        <f t="shared" si="725"/>
        <v>0</v>
      </c>
      <c r="BH264" s="77">
        <f t="shared" si="726"/>
        <v>4.6710000000000002E-2</v>
      </c>
      <c r="BI264" s="87">
        <f>IF($A264&gt;'Debt Service'!BG$58, 0, SUM(BG264:BG$295)*BH264*BG$63/BG$64+SUM(BG265:BG$295)*(BG$64-BG$63)/BG$64*BH264)</f>
        <v>3312533.0700000003</v>
      </c>
      <c r="BJ264" s="61"/>
      <c r="BK264" s="35">
        <f t="shared" si="761"/>
        <v>0</v>
      </c>
      <c r="BL264" s="35">
        <f t="shared" si="762"/>
        <v>5080039.4700000007</v>
      </c>
      <c r="BM264" s="8"/>
      <c r="BN264" s="87">
        <f t="shared" si="727"/>
        <v>0</v>
      </c>
      <c r="BO264" s="77">
        <f t="shared" si="728"/>
        <v>4.6710000000000002E-2</v>
      </c>
      <c r="BP264" s="87">
        <f>(SUM(BN264:BN$295)*BO264*BN$63/BN$64+SUM(BN265:BN$295)*(BN$64-BN$63)/BN$64*BO264)</f>
        <v>0</v>
      </c>
      <c r="BQ264" s="77"/>
      <c r="BR264" s="87">
        <f t="shared" si="729"/>
        <v>0</v>
      </c>
      <c r="BS264" s="77">
        <f t="shared" si="730"/>
        <v>4.6710000000000002E-2</v>
      </c>
      <c r="BT264" s="87">
        <f>IF($A264&gt;'Debt Service'!BR$58, 0, SUM(BR264:BR$295)*BS264*BR$63/BR$64+SUM(BR265:BR$295)*(BR$64-BR$63)/BR$64*BS264)</f>
        <v>3343128.12</v>
      </c>
      <c r="BU264" s="87"/>
      <c r="BV264" s="35">
        <f t="shared" si="763"/>
        <v>0</v>
      </c>
      <c r="BW264" s="35">
        <f t="shared" si="764"/>
        <v>3343128.12</v>
      </c>
      <c r="BX264" s="87"/>
      <c r="BY264" s="87">
        <f t="shared" si="731"/>
        <v>43128000</v>
      </c>
      <c r="BZ264" s="77">
        <f t="shared" si="732"/>
        <v>4.6710000000000002E-2</v>
      </c>
      <c r="CA264" s="87">
        <f>(SUM(BY264:BY$295)*BZ264*BY$63/BY$64+SUM(BY265:BY$295)*(BY$64-BY$63)/BY$64*BZ264)</f>
        <v>2014508.8800000001</v>
      </c>
      <c r="CB264" s="87"/>
      <c r="CC264" s="87">
        <f t="shared" si="733"/>
        <v>0</v>
      </c>
      <c r="CD264" s="77">
        <f t="shared" si="734"/>
        <v>4.6710000000000002E-2</v>
      </c>
      <c r="CE264" s="87">
        <f>IF(OR($A264&gt;'Debt Service'!CC$58,$A264&lt;CC$51), 0, SUM(CC264:CC$295)*CD264*CC$63/CC$64+SUM(CC265:CC$295)*(CC$64-CC$63)/CC$64*CD264)</f>
        <v>219069.9</v>
      </c>
      <c r="CF264" s="87"/>
      <c r="CG264" s="87">
        <f t="shared" si="735"/>
        <v>0</v>
      </c>
      <c r="CH264" s="77">
        <f t="shared" si="736"/>
        <v>4.6710000000000002E-2</v>
      </c>
      <c r="CI264" s="87">
        <f>IF(OR($A264&gt;'Debt Service'!CG$58,$A264&lt;CG$51), 0, SUM(CG264:CG$295)*CH264*CG$63/CG$64+SUM(CG265:CG$295)*(CG$64-CG$63)/CG$64*CH264)</f>
        <v>3354852.33</v>
      </c>
      <c r="CJ264" s="87"/>
      <c r="CK264" s="87">
        <f t="shared" si="737"/>
        <v>0</v>
      </c>
      <c r="CL264" s="77">
        <f t="shared" si="738"/>
        <v>4.6710000000000002E-2</v>
      </c>
      <c r="CM264" s="87">
        <f>IF(OR($A264&gt;'Debt Service'!CK$58,$A264&lt;CK$51), 0, SUM(CK264:CK$295)*CL264*CK$63/CK$64+SUM(CK265:CK$295)*(CK$64-CK$63)/CK$64*CL264)</f>
        <v>3351582.6300000004</v>
      </c>
      <c r="CN264" s="87"/>
      <c r="CO264" s="162">
        <f t="shared" si="739"/>
        <v>0</v>
      </c>
      <c r="CP264" s="87">
        <f t="shared" si="740"/>
        <v>6925504.8600000003</v>
      </c>
      <c r="CQ264" s="87"/>
      <c r="CR264" s="87">
        <f t="shared" si="741"/>
        <v>20992000</v>
      </c>
      <c r="CS264" s="77">
        <f t="shared" si="742"/>
        <v>4.6710000000000002E-2</v>
      </c>
      <c r="CT264" s="87">
        <f>IF(OR($A264&gt;'Debt Service'!CR$58,$A264&lt;CR$51), 0, SUM(CR264:CR$295)*CS264*CR$63/CR$64+SUM(CR265:CR$295)*(CR$64-CR$63)/CR$64*CS264)</f>
        <v>490268.16000000003</v>
      </c>
      <c r="CU264" s="87"/>
      <c r="CV264" s="87">
        <f t="shared" si="743"/>
        <v>0</v>
      </c>
      <c r="CW264" s="77">
        <f t="shared" si="744"/>
        <v>4.6710000000000002E-2</v>
      </c>
      <c r="CX264" s="87">
        <f>IF(OR($A264&gt;'Debt Service'!CV$58,$A264&lt;CV$51), 0, SUM(CV264:CV$295)*CW264*CV$63/CV$64+SUM(CV265:CV$295)*(CV$64-CV$63)/CV$64*CW264)</f>
        <v>3345416.91</v>
      </c>
      <c r="CY264" s="87"/>
      <c r="CZ264" s="165">
        <f t="shared" si="745"/>
        <v>20992000</v>
      </c>
      <c r="DA264" s="165">
        <f t="shared" si="746"/>
        <v>3835685.0700000003</v>
      </c>
      <c r="DB264" s="87"/>
      <c r="DC264" s="87">
        <f t="shared" si="747"/>
        <v>0</v>
      </c>
      <c r="DD264" s="77">
        <f t="shared" si="748"/>
        <v>4.6710000000000002E-2</v>
      </c>
      <c r="DE264" s="87">
        <f>IF($A264&gt;'Debt Service'!DC$58, 0, SUM(DC264:DC$295)*DD264*DC$63/DC$64+SUM(DC265:DC$295)*(DC$64-DC$63)/DC$64*DD264)</f>
        <v>6238867.8600000003</v>
      </c>
      <c r="DF264" s="87"/>
      <c r="DG264" s="87">
        <f t="shared" si="749"/>
        <v>0</v>
      </c>
      <c r="DH264" s="77">
        <f t="shared" si="750"/>
        <v>4.6710000000000002E-2</v>
      </c>
      <c r="DI264" s="87">
        <f>IF($A264&gt;'Debt Service'!DG$58, 0, SUM(DG264:DG$295)*DH264*DG$63/DG$64+SUM(DG265:DG$295)*(DG$64-DG$63)/DG$64*DH264)</f>
        <v>0</v>
      </c>
      <c r="DJ264" s="87"/>
      <c r="DK264" s="87">
        <f t="shared" si="751"/>
        <v>0</v>
      </c>
      <c r="DL264" s="77">
        <f t="shared" si="752"/>
        <v>4.6710000000000002E-2</v>
      </c>
      <c r="DM264" s="87">
        <f>IF($A264&gt;'Debt Service'!DK$58, 0, SUM(DK264:DK$295)*DL264*DK$63/DK$64+SUM(DK265:DK$295)*(DK$64-DK$63)/DK$64*DL264)</f>
        <v>0</v>
      </c>
      <c r="DN264" s="87"/>
      <c r="DO264" s="87">
        <f t="shared" si="753"/>
        <v>0</v>
      </c>
      <c r="DP264" s="77">
        <f t="shared" si="754"/>
        <v>4.6710000000000002E-2</v>
      </c>
      <c r="DQ264" s="87">
        <f>IF($A264&gt;'Debt Service'!DO$58, 0, SUM(DO264:DO$295)*DP264*DO$63/DO$64+SUM(DO265:DO$295)*(DO$64-DO$63)/DO$64*DP264)</f>
        <v>0</v>
      </c>
      <c r="DR264" s="87"/>
      <c r="DS264" s="87">
        <f t="shared" si="755"/>
        <v>0</v>
      </c>
      <c r="DT264" s="77">
        <f t="shared" si="756"/>
        <v>4.6710000000000002E-2</v>
      </c>
      <c r="DU264" s="87">
        <f>IF($A264&gt;'Debt Service'!DS$58, 0, SUM(DS264:DS$295)*DT264*DS$63/DS$64+SUM(DS265:DS$295)*(DS$64-DS$63)/DS$64*DT264)</f>
        <v>0</v>
      </c>
      <c r="DV264" s="87"/>
      <c r="DW264" s="165">
        <f t="shared" si="765"/>
        <v>64120000</v>
      </c>
      <c r="DX264" s="165">
        <f t="shared" si="766"/>
        <v>32259700.980000004</v>
      </c>
      <c r="DY264" s="87"/>
      <c r="DZ264" s="53">
        <f t="shared" si="757"/>
        <v>2029</v>
      </c>
      <c r="EA264" s="35">
        <f t="shared" si="758"/>
        <v>64120000</v>
      </c>
      <c r="EB264" s="35">
        <f t="shared" si="759"/>
        <v>37513450.980000004</v>
      </c>
      <c r="EC264" s="77">
        <f>IF($A264&gt;2042, VLOOKUP($A264, Assumptions!$A$8:$D$44, Assumptions!$D$1, FALSE) +'Debt Service'!DS$307, MAX(EB264/SUM(EA264:EA$295), EC265))</f>
        <v>4.6710000000000002E-2</v>
      </c>
      <c r="ED264" s="172">
        <f t="shared" si="767"/>
        <v>6</v>
      </c>
      <c r="EE264" s="61"/>
    </row>
    <row r="265" spans="1:135" s="33" customFormat="1" outlineLevel="1">
      <c r="A265" s="7">
        <f t="shared" si="760"/>
        <v>2030</v>
      </c>
      <c r="B265" s="151">
        <f>Assumptions!B14</f>
        <v>5.3800000000000001E-2</v>
      </c>
      <c r="C265" s="151">
        <f>Assumptions!C14</f>
        <v>5.3800000000000001E-2</v>
      </c>
      <c r="D265" s="151">
        <f>Assumptions!D14</f>
        <v>3.5000000000000003E-2</v>
      </c>
      <c r="E265" s="151">
        <f>Assumptions!E14</f>
        <v>5.2999999999999999E-2</v>
      </c>
      <c r="F265" s="8"/>
      <c r="G265" s="8"/>
      <c r="H265" s="8"/>
      <c r="I265" s="8"/>
      <c r="J265" s="8"/>
      <c r="K265" s="8"/>
      <c r="L265" s="8"/>
      <c r="M265" s="87">
        <f t="shared" si="701"/>
        <v>0</v>
      </c>
      <c r="N265" s="77" t="str">
        <f t="shared" si="702"/>
        <v xml:space="preserve">   </v>
      </c>
      <c r="O265" s="87">
        <f>IF($A265&gt;'Debt Service'!M$58, 0, SUM(M265:M$295)*N265*M$63/M$64+SUM(M266:M$295)*(M$64-M$63)/M$64*N265)</f>
        <v>0</v>
      </c>
      <c r="P265" s="35"/>
      <c r="Q265" s="87">
        <f t="shared" si="703"/>
        <v>0</v>
      </c>
      <c r="R265" s="77" t="str">
        <f t="shared" si="704"/>
        <v xml:space="preserve">   </v>
      </c>
      <c r="S265" s="87">
        <f>IF($A265&gt;'Debt Service'!Q$58, 0, SUM(Q265:Q$295)*R265*Q$63/Q$64+SUM(Q266:Q$295)*(Q$64-Q$63)/Q$64*R265)</f>
        <v>0</v>
      </c>
      <c r="T265" s="35"/>
      <c r="U265" s="87">
        <f t="shared" si="705"/>
        <v>0</v>
      </c>
      <c r="V265" s="35">
        <f t="shared" si="706"/>
        <v>0</v>
      </c>
      <c r="W265" s="35"/>
      <c r="X265" s="87">
        <f t="shared" si="707"/>
        <v>0</v>
      </c>
      <c r="Y265" s="77" t="str">
        <f t="shared" si="708"/>
        <v xml:space="preserve">   </v>
      </c>
      <c r="Z265" s="87">
        <f>IF($A265&gt;'Debt Service'!X$58, 0, SUM(X265:X$295)*Y265*X$63/X$64+SUM(X266:X$295)*(X$64-X$63)/X$64*Y265)</f>
        <v>0</v>
      </c>
      <c r="AA265" s="87"/>
      <c r="AB265" s="87">
        <f t="shared" si="709"/>
        <v>0</v>
      </c>
      <c r="AC265" s="77">
        <f t="shared" si="710"/>
        <v>4.6700000000000005E-2</v>
      </c>
      <c r="AD265" s="87">
        <f>(SUM(AB265:AB$295)*AC265*AB$63/AB$64+SUM(AB266:AB$295)*(AB$64-AB$63)/AB$64*AC265)</f>
        <v>5253750.0000000009</v>
      </c>
      <c r="AE265" s="35"/>
      <c r="AF265" s="87">
        <f t="shared" si="711"/>
        <v>0</v>
      </c>
      <c r="AG265" s="77">
        <f t="shared" si="712"/>
        <v>4.6710000000000002E-2</v>
      </c>
      <c r="AH265" s="87">
        <f>(SUM(AF265:AF$295)*AG265*AF$63/AF$64+SUM(AF266:AF$295)*(AF$64-AF$63)/AF$64*AG265)</f>
        <v>436458.23999999999</v>
      </c>
      <c r="AI265" s="35"/>
      <c r="AJ265" s="87">
        <f t="shared" si="713"/>
        <v>0</v>
      </c>
      <c r="AK265" s="77">
        <f t="shared" si="714"/>
        <v>4.6710000000000002E-2</v>
      </c>
      <c r="AL265" s="87">
        <f>IF($A265&gt;'Debt Service'!AJ$58, 0, SUM(AJ265:AJ$295)*AK265*AJ$63/AJ$64+SUM(AJ266:AJ$295)*(AJ$64-AJ$63)/AJ$64*AK265)</f>
        <v>2188830.6</v>
      </c>
      <c r="AM265" s="35"/>
      <c r="AN265" s="87">
        <f t="shared" si="715"/>
        <v>0</v>
      </c>
      <c r="AO265" s="77" t="str">
        <f t="shared" si="716"/>
        <v xml:space="preserve">   </v>
      </c>
      <c r="AP265" s="87">
        <f>IF($A265&gt;'Debt Service'!AN$58, 0, SUM(AN265:AN$295)*AO265*AN$63/AN$64+SUM(AN266:AN$295)*(AN$64-AN$63)/AN$64*AO265)</f>
        <v>0</v>
      </c>
      <c r="AQ265" s="35"/>
      <c r="AR265" s="87">
        <f t="shared" si="717"/>
        <v>0</v>
      </c>
      <c r="AS265" s="77">
        <f t="shared" si="718"/>
        <v>4.6710000000000002E-2</v>
      </c>
      <c r="AT265" s="87">
        <f>IF($A265&gt;'Debt Service'!AR$58, 0, SUM(AR265:AR$295)*AS265*AR$63/AR$64+SUM(AR266:AR$295)*(AR$64-AR$63)/AR$64*AS265)</f>
        <v>2196677.88</v>
      </c>
      <c r="AV265" s="35">
        <f t="shared" si="719"/>
        <v>0</v>
      </c>
      <c r="AW265" s="35">
        <f t="shared" si="720"/>
        <v>4821966.72</v>
      </c>
      <c r="AX265" s="35"/>
      <c r="AY265" s="87">
        <f t="shared" si="721"/>
        <v>0</v>
      </c>
      <c r="AZ265" s="77">
        <f t="shared" si="722"/>
        <v>4.6710000000000002E-2</v>
      </c>
      <c r="BA265" s="87">
        <f>(SUM(AY265:AY$295)*AZ265*AY$63/AY$64+SUM(AY266:AY$295)*(AY$64-AY$63)/AY$64*AZ265)</f>
        <v>440895.69</v>
      </c>
      <c r="BB265" s="61"/>
      <c r="BC265" s="87">
        <f t="shared" si="723"/>
        <v>0</v>
      </c>
      <c r="BD265" s="77">
        <f t="shared" si="724"/>
        <v>4.6710000000000002E-2</v>
      </c>
      <c r="BE265" s="87">
        <f>IF($A265&gt;'Debt Service'!BC$58, 0, SUM(BC265:BC$295)*BD265*BC$63/BC$64+SUM(BC266:BC$295)*(BC$64-BC$63)/BC$64*BD265)</f>
        <v>1326610.71</v>
      </c>
      <c r="BF265" s="61"/>
      <c r="BG265" s="87">
        <f t="shared" si="725"/>
        <v>0</v>
      </c>
      <c r="BH265" s="77">
        <f t="shared" si="726"/>
        <v>4.6710000000000002E-2</v>
      </c>
      <c r="BI265" s="87">
        <f>IF($A265&gt;'Debt Service'!BG$58, 0, SUM(BG265:BG$295)*BH265*BG$63/BG$64+SUM(BG266:BG$295)*(BG$64-BG$63)/BG$64*BH265)</f>
        <v>3312533.0700000003</v>
      </c>
      <c r="BJ265" s="61"/>
      <c r="BK265" s="35">
        <f t="shared" si="761"/>
        <v>0</v>
      </c>
      <c r="BL265" s="35">
        <f t="shared" si="762"/>
        <v>5080039.4700000007</v>
      </c>
      <c r="BM265" s="8"/>
      <c r="BN265" s="87">
        <f t="shared" si="727"/>
        <v>0</v>
      </c>
      <c r="BO265" s="77">
        <f t="shared" si="728"/>
        <v>4.6710000000000002E-2</v>
      </c>
      <c r="BP265" s="87">
        <f>(SUM(BN265:BN$295)*BO265*BN$63/BN$64+SUM(BN266:BN$295)*(BN$64-BN$63)/BN$64*BO265)</f>
        <v>0</v>
      </c>
      <c r="BQ265" s="77"/>
      <c r="BR265" s="87">
        <f t="shared" si="729"/>
        <v>0</v>
      </c>
      <c r="BS265" s="77">
        <f t="shared" si="730"/>
        <v>4.6710000000000002E-2</v>
      </c>
      <c r="BT265" s="87">
        <f>IF($A265&gt;'Debt Service'!BR$58, 0, SUM(BR265:BR$295)*BS265*BR$63/BR$64+SUM(BR266:BR$295)*(BR$64-BR$63)/BR$64*BS265)</f>
        <v>3343128.12</v>
      </c>
      <c r="BU265" s="87"/>
      <c r="BV265" s="35">
        <f t="shared" si="763"/>
        <v>0</v>
      </c>
      <c r="BW265" s="35">
        <f t="shared" si="764"/>
        <v>3343128.12</v>
      </c>
      <c r="BX265" s="87"/>
      <c r="BY265" s="87">
        <f t="shared" si="731"/>
        <v>0</v>
      </c>
      <c r="BZ265" s="77">
        <f t="shared" si="732"/>
        <v>4.6710000000000002E-2</v>
      </c>
      <c r="CA265" s="87">
        <f>(SUM(BY265:BY$295)*BZ265*BY$63/BY$64+SUM(BY266:BY$295)*(BY$64-BY$63)/BY$64*BZ265)</f>
        <v>0</v>
      </c>
      <c r="CB265" s="87"/>
      <c r="CC265" s="87">
        <f t="shared" si="733"/>
        <v>4690000</v>
      </c>
      <c r="CD265" s="77">
        <f t="shared" si="734"/>
        <v>4.6710000000000002E-2</v>
      </c>
      <c r="CE265" s="87">
        <f>IF(OR($A265&gt;'Debt Service'!CC$58,$A265&lt;CC$51), 0, SUM(CC265:CC$295)*CD265*CC$63/CC$64+SUM(CC266:CC$295)*(CC$64-CC$63)/CC$64*CD265)</f>
        <v>109534.95</v>
      </c>
      <c r="CF265" s="87"/>
      <c r="CG265" s="87">
        <f t="shared" si="735"/>
        <v>0</v>
      </c>
      <c r="CH265" s="77">
        <f t="shared" si="736"/>
        <v>4.6710000000000002E-2</v>
      </c>
      <c r="CI265" s="87">
        <f>IF(OR($A265&gt;'Debt Service'!CG$58,$A265&lt;CG$51), 0, SUM(CG265:CG$295)*CH265*CG$63/CG$64+SUM(CG266:CG$295)*(CG$64-CG$63)/CG$64*CH265)</f>
        <v>3354852.33</v>
      </c>
      <c r="CJ265" s="87"/>
      <c r="CK265" s="87">
        <f t="shared" si="737"/>
        <v>0</v>
      </c>
      <c r="CL265" s="77">
        <f t="shared" si="738"/>
        <v>4.6710000000000002E-2</v>
      </c>
      <c r="CM265" s="87">
        <f>IF(OR($A265&gt;'Debt Service'!CK$58,$A265&lt;CK$51), 0, SUM(CK265:CK$295)*CL265*CK$63/CK$64+SUM(CK266:CK$295)*(CK$64-CK$63)/CK$64*CL265)</f>
        <v>3351582.6300000004</v>
      </c>
      <c r="CN265" s="87"/>
      <c r="CO265" s="162">
        <f t="shared" si="739"/>
        <v>4690000</v>
      </c>
      <c r="CP265" s="87">
        <f t="shared" si="740"/>
        <v>6815969.9100000001</v>
      </c>
      <c r="CQ265" s="87"/>
      <c r="CR265" s="87">
        <f t="shared" si="741"/>
        <v>0</v>
      </c>
      <c r="CS265" s="77">
        <f t="shared" si="742"/>
        <v>4.6710000000000002E-2</v>
      </c>
      <c r="CT265" s="87">
        <f>IF(OR($A265&gt;'Debt Service'!CR$58,$A265&lt;CR$51), 0, SUM(CR265:CR$295)*CS265*CR$63/CR$64+SUM(CR266:CR$295)*(CR$64-CR$63)/CR$64*CS265)</f>
        <v>0</v>
      </c>
      <c r="CU265" s="87"/>
      <c r="CV265" s="87">
        <f t="shared" si="743"/>
        <v>0</v>
      </c>
      <c r="CW265" s="77">
        <f t="shared" si="744"/>
        <v>4.6710000000000002E-2</v>
      </c>
      <c r="CX265" s="87">
        <f>IF(OR($A265&gt;'Debt Service'!CV$58,$A265&lt;CV$51), 0, SUM(CV265:CV$295)*CW265*CV$63/CV$64+SUM(CV266:CV$295)*(CV$64-CV$63)/CV$64*CW265)</f>
        <v>3345416.91</v>
      </c>
      <c r="CY265" s="87"/>
      <c r="CZ265" s="165">
        <f t="shared" si="745"/>
        <v>0</v>
      </c>
      <c r="DA265" s="165">
        <f t="shared" si="746"/>
        <v>3345416.91</v>
      </c>
      <c r="DB265" s="87"/>
      <c r="DC265" s="87">
        <f t="shared" si="747"/>
        <v>0</v>
      </c>
      <c r="DD265" s="77">
        <f t="shared" si="748"/>
        <v>4.6710000000000002E-2</v>
      </c>
      <c r="DE265" s="87">
        <f>IF($A265&gt;'Debt Service'!DC$58, 0, SUM(DC265:DC$295)*DD265*DC$63/DC$64+SUM(DC266:DC$295)*(DC$64-DC$63)/DC$64*DD265)</f>
        <v>6238867.8600000003</v>
      </c>
      <c r="DF265" s="87"/>
      <c r="DG265" s="87">
        <f t="shared" si="749"/>
        <v>0</v>
      </c>
      <c r="DH265" s="77">
        <f t="shared" si="750"/>
        <v>4.6710000000000002E-2</v>
      </c>
      <c r="DI265" s="87">
        <f>IF($A265&gt;'Debt Service'!DG$58, 0, SUM(DG265:DG$295)*DH265*DG$63/DG$64+SUM(DG266:DG$295)*(DG$64-DG$63)/DG$64*DH265)</f>
        <v>0</v>
      </c>
      <c r="DJ265" s="87"/>
      <c r="DK265" s="87">
        <f t="shared" si="751"/>
        <v>0</v>
      </c>
      <c r="DL265" s="77">
        <f t="shared" si="752"/>
        <v>4.6710000000000002E-2</v>
      </c>
      <c r="DM265" s="87">
        <f>IF($A265&gt;'Debt Service'!DK$58, 0, SUM(DK265:DK$295)*DL265*DK$63/DK$64+SUM(DK266:DK$295)*(DK$64-DK$63)/DK$64*DL265)</f>
        <v>0</v>
      </c>
      <c r="DN265" s="87"/>
      <c r="DO265" s="87">
        <f t="shared" si="753"/>
        <v>0</v>
      </c>
      <c r="DP265" s="77">
        <f t="shared" si="754"/>
        <v>4.6710000000000002E-2</v>
      </c>
      <c r="DQ265" s="87">
        <f>IF($A265&gt;'Debt Service'!DO$58, 0, SUM(DO265:DO$295)*DP265*DO$63/DO$64+SUM(DO266:DO$295)*(DO$64-DO$63)/DO$64*DP265)</f>
        <v>0</v>
      </c>
      <c r="DR265" s="87"/>
      <c r="DS265" s="87">
        <f t="shared" si="755"/>
        <v>0</v>
      </c>
      <c r="DT265" s="77">
        <f t="shared" si="756"/>
        <v>4.6710000000000002E-2</v>
      </c>
      <c r="DU265" s="87">
        <f>IF($A265&gt;'Debt Service'!DS$58, 0, SUM(DS265:DS$295)*DT265*DS$63/DS$64+SUM(DS266:DS$295)*(DS$64-DS$63)/DS$64*DT265)</f>
        <v>0</v>
      </c>
      <c r="DV265" s="87"/>
      <c r="DW265" s="165">
        <f t="shared" si="765"/>
        <v>4690000</v>
      </c>
      <c r="DX265" s="165">
        <f t="shared" si="766"/>
        <v>29645388.990000002</v>
      </c>
      <c r="DY265" s="87"/>
      <c r="DZ265" s="53">
        <f t="shared" si="757"/>
        <v>2030</v>
      </c>
      <c r="EA265" s="35">
        <f t="shared" si="758"/>
        <v>4690000</v>
      </c>
      <c r="EB265" s="35">
        <f t="shared" si="759"/>
        <v>34899138.990000002</v>
      </c>
      <c r="EC265" s="77">
        <f>IF($A265&gt;2042, VLOOKUP($A265, Assumptions!$A$8:$D$44, Assumptions!$D$1, FALSE) +'Debt Service'!DS$307, MAX(EB265/SUM(EA265:EA$295), EC266))</f>
        <v>4.6710000000000002E-2</v>
      </c>
      <c r="ED265" s="172">
        <f t="shared" si="767"/>
        <v>7</v>
      </c>
      <c r="EE265" s="61"/>
    </row>
    <row r="266" spans="1:135" s="33" customFormat="1" outlineLevel="1">
      <c r="A266" s="7">
        <f t="shared" si="760"/>
        <v>2031</v>
      </c>
      <c r="B266" s="151">
        <f>Assumptions!B15</f>
        <v>5.3800000000000001E-2</v>
      </c>
      <c r="C266" s="151">
        <f>Assumptions!C15</f>
        <v>5.3800000000000001E-2</v>
      </c>
      <c r="D266" s="151">
        <f>Assumptions!D15</f>
        <v>3.5000000000000003E-2</v>
      </c>
      <c r="E266" s="151">
        <f>Assumptions!E15</f>
        <v>5.2999999999999999E-2</v>
      </c>
      <c r="F266" s="8"/>
      <c r="G266" s="8"/>
      <c r="H266" s="8"/>
      <c r="I266" s="8"/>
      <c r="J266" s="8"/>
      <c r="K266" s="8"/>
      <c r="L266" s="8"/>
      <c r="M266" s="87">
        <f t="shared" si="701"/>
        <v>0</v>
      </c>
      <c r="N266" s="77" t="str">
        <f t="shared" si="702"/>
        <v xml:space="preserve">   </v>
      </c>
      <c r="O266" s="87">
        <f>IF($A266&gt;'Debt Service'!M$58, 0, SUM(M266:M$295)*N266*M$63/M$64+SUM(M267:M$295)*(M$64-M$63)/M$64*N266)</f>
        <v>0</v>
      </c>
      <c r="P266" s="35"/>
      <c r="Q266" s="87">
        <f t="shared" si="703"/>
        <v>0</v>
      </c>
      <c r="R266" s="77" t="str">
        <f t="shared" si="704"/>
        <v xml:space="preserve">   </v>
      </c>
      <c r="S266" s="87">
        <f>IF($A266&gt;'Debt Service'!Q$58, 0, SUM(Q266:Q$295)*R266*Q$63/Q$64+SUM(Q267:Q$295)*(Q$64-Q$63)/Q$64*R266)</f>
        <v>0</v>
      </c>
      <c r="T266" s="35"/>
      <c r="U266" s="87">
        <f t="shared" si="705"/>
        <v>0</v>
      </c>
      <c r="V266" s="35">
        <f t="shared" si="706"/>
        <v>0</v>
      </c>
      <c r="W266" s="35"/>
      <c r="X266" s="87">
        <f t="shared" si="707"/>
        <v>0</v>
      </c>
      <c r="Y266" s="77" t="str">
        <f t="shared" si="708"/>
        <v xml:space="preserve">   </v>
      </c>
      <c r="Z266" s="87">
        <f>IF($A266&gt;'Debt Service'!X$58, 0, SUM(X266:X$295)*Y266*X$63/X$64+SUM(X267:X$295)*(X$64-X$63)/X$64*Y266)</f>
        <v>0</v>
      </c>
      <c r="AA266" s="87"/>
      <c r="AB266" s="87">
        <f t="shared" si="709"/>
        <v>0</v>
      </c>
      <c r="AC266" s="77">
        <f t="shared" si="710"/>
        <v>4.6700000000000005E-2</v>
      </c>
      <c r="AD266" s="87">
        <f>(SUM(AB266:AB$295)*AC266*AB$63/AB$64+SUM(AB267:AB$295)*(AB$64-AB$63)/AB$64*AC266)</f>
        <v>5253750.0000000009</v>
      </c>
      <c r="AE266" s="35"/>
      <c r="AF266" s="87">
        <f t="shared" si="711"/>
        <v>0</v>
      </c>
      <c r="AG266" s="77">
        <f t="shared" si="712"/>
        <v>4.6710000000000002E-2</v>
      </c>
      <c r="AH266" s="87">
        <f>(SUM(AF266:AF$295)*AG266*AF$63/AF$64+SUM(AF267:AF$295)*(AF$64-AF$63)/AF$64*AG266)</f>
        <v>436458.23999999999</v>
      </c>
      <c r="AI266" s="35"/>
      <c r="AJ266" s="87">
        <f t="shared" si="713"/>
        <v>0</v>
      </c>
      <c r="AK266" s="77">
        <f t="shared" si="714"/>
        <v>4.6710000000000002E-2</v>
      </c>
      <c r="AL266" s="87">
        <f>IF($A266&gt;'Debt Service'!AJ$58, 0, SUM(AJ266:AJ$295)*AK266*AJ$63/AJ$64+SUM(AJ267:AJ$295)*(AJ$64-AJ$63)/AJ$64*AK266)</f>
        <v>2188830.6</v>
      </c>
      <c r="AM266" s="35"/>
      <c r="AN266" s="87">
        <f t="shared" si="715"/>
        <v>0</v>
      </c>
      <c r="AO266" s="77" t="str">
        <f t="shared" si="716"/>
        <v xml:space="preserve">   </v>
      </c>
      <c r="AP266" s="87">
        <f>IF($A266&gt;'Debt Service'!AN$58, 0, SUM(AN266:AN$295)*AO266*AN$63/AN$64+SUM(AN267:AN$295)*(AN$64-AN$63)/AN$64*AO266)</f>
        <v>0</v>
      </c>
      <c r="AQ266" s="35"/>
      <c r="AR266" s="87">
        <f t="shared" si="717"/>
        <v>0</v>
      </c>
      <c r="AS266" s="77">
        <f t="shared" si="718"/>
        <v>4.6710000000000002E-2</v>
      </c>
      <c r="AT266" s="87">
        <f>IF($A266&gt;'Debt Service'!AR$58, 0, SUM(AR266:AR$295)*AS266*AR$63/AR$64+SUM(AR267:AR$295)*(AR$64-AR$63)/AR$64*AS266)</f>
        <v>2196677.88</v>
      </c>
      <c r="AV266" s="35">
        <f t="shared" si="719"/>
        <v>0</v>
      </c>
      <c r="AW266" s="35">
        <f t="shared" si="720"/>
        <v>4821966.72</v>
      </c>
      <c r="AX266" s="35"/>
      <c r="AY266" s="87">
        <f t="shared" si="721"/>
        <v>0</v>
      </c>
      <c r="AZ266" s="77">
        <f t="shared" si="722"/>
        <v>4.6710000000000002E-2</v>
      </c>
      <c r="BA266" s="87">
        <f>(SUM(AY266:AY$295)*AZ266*AY$63/AY$64+SUM(AY267:AY$295)*(AY$64-AY$63)/AY$64*AZ266)</f>
        <v>440895.69</v>
      </c>
      <c r="BB266" s="61"/>
      <c r="BC266" s="87">
        <f t="shared" si="723"/>
        <v>0</v>
      </c>
      <c r="BD266" s="77">
        <f t="shared" si="724"/>
        <v>4.6710000000000002E-2</v>
      </c>
      <c r="BE266" s="87">
        <f>IF($A266&gt;'Debt Service'!BC$58, 0, SUM(BC266:BC$295)*BD266*BC$63/BC$64+SUM(BC267:BC$295)*(BC$64-BC$63)/BC$64*BD266)</f>
        <v>1326610.71</v>
      </c>
      <c r="BF266" s="61"/>
      <c r="BG266" s="87">
        <f t="shared" si="725"/>
        <v>0</v>
      </c>
      <c r="BH266" s="77">
        <f t="shared" si="726"/>
        <v>4.6710000000000002E-2</v>
      </c>
      <c r="BI266" s="87">
        <f>IF($A266&gt;'Debt Service'!BG$58, 0, SUM(BG266:BG$295)*BH266*BG$63/BG$64+SUM(BG267:BG$295)*(BG$64-BG$63)/BG$64*BH266)</f>
        <v>3312533.0700000003</v>
      </c>
      <c r="BJ266" s="61"/>
      <c r="BK266" s="35">
        <f t="shared" si="761"/>
        <v>0</v>
      </c>
      <c r="BL266" s="35">
        <f t="shared" si="762"/>
        <v>5080039.4700000007</v>
      </c>
      <c r="BM266" s="8"/>
      <c r="BN266" s="87">
        <f t="shared" si="727"/>
        <v>0</v>
      </c>
      <c r="BO266" s="77">
        <f t="shared" si="728"/>
        <v>4.6710000000000002E-2</v>
      </c>
      <c r="BP266" s="87">
        <f>(SUM(BN266:BN$295)*BO266*BN$63/BN$64+SUM(BN267:BN$295)*(BN$64-BN$63)/BN$64*BO266)</f>
        <v>0</v>
      </c>
      <c r="BQ266" s="77"/>
      <c r="BR266" s="87">
        <f t="shared" si="729"/>
        <v>0</v>
      </c>
      <c r="BS266" s="77">
        <f t="shared" si="730"/>
        <v>4.6710000000000002E-2</v>
      </c>
      <c r="BT266" s="87">
        <f>IF($A266&gt;'Debt Service'!BR$58, 0, SUM(BR266:BR$295)*BS266*BR$63/BR$64+SUM(BR267:BR$295)*(BR$64-BR$63)/BR$64*BS266)</f>
        <v>3343128.12</v>
      </c>
      <c r="BU266" s="87"/>
      <c r="BV266" s="35">
        <f t="shared" si="763"/>
        <v>0</v>
      </c>
      <c r="BW266" s="35">
        <f t="shared" si="764"/>
        <v>3343128.12</v>
      </c>
      <c r="BX266" s="87"/>
      <c r="BY266" s="87">
        <f t="shared" si="731"/>
        <v>0</v>
      </c>
      <c r="BZ266" s="77">
        <f t="shared" si="732"/>
        <v>4.6710000000000002E-2</v>
      </c>
      <c r="CA266" s="87">
        <f>(SUM(BY266:BY$295)*BZ266*BY$63/BY$64+SUM(BY267:BY$295)*(BY$64-BY$63)/BY$64*BZ266)</f>
        <v>0</v>
      </c>
      <c r="CB266" s="87"/>
      <c r="CC266" s="87">
        <f t="shared" si="733"/>
        <v>0</v>
      </c>
      <c r="CD266" s="77">
        <f t="shared" si="734"/>
        <v>4.6710000000000002E-2</v>
      </c>
      <c r="CE266" s="87">
        <f>IF(OR($A266&gt;'Debt Service'!CC$58,$A266&lt;CC$51), 0, SUM(CC266:CC$295)*CD266*CC$63/CC$64+SUM(CC267:CC$295)*(CC$64-CC$63)/CC$64*CD266)</f>
        <v>0</v>
      </c>
      <c r="CF266" s="87"/>
      <c r="CG266" s="87">
        <f t="shared" si="735"/>
        <v>0</v>
      </c>
      <c r="CH266" s="77">
        <f t="shared" si="736"/>
        <v>4.6710000000000002E-2</v>
      </c>
      <c r="CI266" s="87">
        <f>IF(OR($A266&gt;'Debt Service'!CG$58,$A266&lt;CG$51), 0, SUM(CG266:CG$295)*CH266*CG$63/CG$64+SUM(CG267:CG$295)*(CG$64-CG$63)/CG$64*CH266)</f>
        <v>3354852.33</v>
      </c>
      <c r="CJ266" s="87"/>
      <c r="CK266" s="87">
        <f t="shared" si="737"/>
        <v>0</v>
      </c>
      <c r="CL266" s="77">
        <f t="shared" si="738"/>
        <v>4.6710000000000002E-2</v>
      </c>
      <c r="CM266" s="87">
        <f>IF(OR($A266&gt;'Debt Service'!CK$58,$A266&lt;CK$51), 0, SUM(CK266:CK$295)*CL266*CK$63/CK$64+SUM(CK267:CK$295)*(CK$64-CK$63)/CK$64*CL266)</f>
        <v>3351582.6300000004</v>
      </c>
      <c r="CN266" s="87"/>
      <c r="CO266" s="162">
        <f t="shared" si="739"/>
        <v>0</v>
      </c>
      <c r="CP266" s="87">
        <f t="shared" si="740"/>
        <v>6706434.9600000009</v>
      </c>
      <c r="CQ266" s="87"/>
      <c r="CR266" s="87">
        <f t="shared" si="741"/>
        <v>0</v>
      </c>
      <c r="CS266" s="77">
        <f t="shared" si="742"/>
        <v>4.6710000000000002E-2</v>
      </c>
      <c r="CT266" s="87">
        <f>IF(OR($A266&gt;'Debt Service'!CR$58,$A266&lt;CR$51), 0, SUM(CR266:CR$295)*CS266*CR$63/CR$64+SUM(CR267:CR$295)*(CR$64-CR$63)/CR$64*CS266)</f>
        <v>0</v>
      </c>
      <c r="CU266" s="87"/>
      <c r="CV266" s="87">
        <f t="shared" si="743"/>
        <v>0</v>
      </c>
      <c r="CW266" s="77">
        <f t="shared" si="744"/>
        <v>4.6710000000000002E-2</v>
      </c>
      <c r="CX266" s="87">
        <f>IF(OR($A266&gt;'Debt Service'!CV$58,$A266&lt;CV$51), 0, SUM(CV266:CV$295)*CW266*CV$63/CV$64+SUM(CV267:CV$295)*(CV$64-CV$63)/CV$64*CW266)</f>
        <v>3345416.91</v>
      </c>
      <c r="CY266" s="87"/>
      <c r="CZ266" s="165">
        <f t="shared" si="745"/>
        <v>0</v>
      </c>
      <c r="DA266" s="165">
        <f t="shared" si="746"/>
        <v>3345416.91</v>
      </c>
      <c r="DB266" s="87"/>
      <c r="DC266" s="87">
        <f t="shared" si="747"/>
        <v>0</v>
      </c>
      <c r="DD266" s="77">
        <f t="shared" si="748"/>
        <v>4.6710000000000002E-2</v>
      </c>
      <c r="DE266" s="87">
        <f>IF($A266&gt;'Debt Service'!DC$58, 0, SUM(DC266:DC$295)*DD266*DC$63/DC$64+SUM(DC267:DC$295)*(DC$64-DC$63)/DC$64*DD266)</f>
        <v>6238867.8600000003</v>
      </c>
      <c r="DF266" s="87"/>
      <c r="DG266" s="87">
        <f t="shared" si="749"/>
        <v>0</v>
      </c>
      <c r="DH266" s="77">
        <f t="shared" si="750"/>
        <v>4.6710000000000002E-2</v>
      </c>
      <c r="DI266" s="87">
        <f>IF($A266&gt;'Debt Service'!DG$58, 0, SUM(DG266:DG$295)*DH266*DG$63/DG$64+SUM(DG267:DG$295)*(DG$64-DG$63)/DG$64*DH266)</f>
        <v>0</v>
      </c>
      <c r="DJ266" s="87"/>
      <c r="DK266" s="87">
        <f t="shared" si="751"/>
        <v>0</v>
      </c>
      <c r="DL266" s="77">
        <f t="shared" si="752"/>
        <v>4.6710000000000002E-2</v>
      </c>
      <c r="DM266" s="87">
        <f>IF($A266&gt;'Debt Service'!DK$58, 0, SUM(DK266:DK$295)*DL266*DK$63/DK$64+SUM(DK267:DK$295)*(DK$64-DK$63)/DK$64*DL266)</f>
        <v>0</v>
      </c>
      <c r="DN266" s="87"/>
      <c r="DO266" s="87">
        <f t="shared" si="753"/>
        <v>0</v>
      </c>
      <c r="DP266" s="77">
        <f t="shared" si="754"/>
        <v>4.6710000000000002E-2</v>
      </c>
      <c r="DQ266" s="87">
        <f>IF($A266&gt;'Debt Service'!DO$58, 0, SUM(DO266:DO$295)*DP266*DO$63/DO$64+SUM(DO267:DO$295)*(DO$64-DO$63)/DO$64*DP266)</f>
        <v>0</v>
      </c>
      <c r="DR266" s="87"/>
      <c r="DS266" s="87">
        <f t="shared" si="755"/>
        <v>0</v>
      </c>
      <c r="DT266" s="77">
        <f t="shared" si="756"/>
        <v>4.6710000000000002E-2</v>
      </c>
      <c r="DU266" s="87">
        <f>IF($A266&gt;'Debt Service'!DS$58, 0, SUM(DS266:DS$295)*DT266*DS$63/DS$64+SUM(DS267:DS$295)*(DS$64-DS$63)/DS$64*DT266)</f>
        <v>0</v>
      </c>
      <c r="DV266" s="87"/>
      <c r="DW266" s="165">
        <f t="shared" si="765"/>
        <v>0</v>
      </c>
      <c r="DX266" s="165">
        <f t="shared" si="766"/>
        <v>29535854.040000003</v>
      </c>
      <c r="DY266" s="87"/>
      <c r="DZ266" s="53">
        <f t="shared" si="757"/>
        <v>2031</v>
      </c>
      <c r="EA266" s="35">
        <f t="shared" si="758"/>
        <v>0</v>
      </c>
      <c r="EB266" s="35">
        <f t="shared" si="759"/>
        <v>34789604.040000007</v>
      </c>
      <c r="EC266" s="77">
        <f>IF($A266&gt;2042, VLOOKUP($A266, Assumptions!$A$8:$D$44, Assumptions!$D$1, FALSE) +'Debt Service'!DS$307, MAX(EB266/SUM(EA266:EA$295), EC267))</f>
        <v>4.6710000000000002E-2</v>
      </c>
      <c r="ED266" s="172">
        <f t="shared" si="767"/>
        <v>8</v>
      </c>
      <c r="EE266" s="61"/>
    </row>
    <row r="267" spans="1:135" s="33" customFormat="1" outlineLevel="1">
      <c r="A267" s="7">
        <f t="shared" si="760"/>
        <v>2032</v>
      </c>
      <c r="B267" s="151">
        <f>Assumptions!B16</f>
        <v>5.3800000000000001E-2</v>
      </c>
      <c r="C267" s="151">
        <f>Assumptions!C16</f>
        <v>5.3800000000000001E-2</v>
      </c>
      <c r="D267" s="151">
        <f>Assumptions!D16</f>
        <v>3.5000000000000003E-2</v>
      </c>
      <c r="E267" s="151">
        <f>Assumptions!E16</f>
        <v>5.2999999999999999E-2</v>
      </c>
      <c r="F267" s="8"/>
      <c r="G267" s="8"/>
      <c r="H267" s="8"/>
      <c r="I267" s="8"/>
      <c r="J267" s="8"/>
      <c r="K267" s="8"/>
      <c r="L267" s="86"/>
      <c r="M267" s="87">
        <f t="shared" si="701"/>
        <v>0</v>
      </c>
      <c r="N267" s="77" t="str">
        <f t="shared" si="702"/>
        <v xml:space="preserve">   </v>
      </c>
      <c r="O267" s="87">
        <f>IF($A267&gt;'Debt Service'!M$58, 0, SUM(M267:M$295)*N267*M$63/M$64+SUM(M268:M$295)*(M$64-M$63)/M$64*N267)</f>
        <v>0</v>
      </c>
      <c r="P267" s="35"/>
      <c r="Q267" s="87">
        <f t="shared" si="703"/>
        <v>0</v>
      </c>
      <c r="R267" s="77" t="str">
        <f t="shared" si="704"/>
        <v xml:space="preserve">   </v>
      </c>
      <c r="S267" s="87">
        <f>IF($A267&gt;'Debt Service'!Q$58, 0, SUM(Q267:Q$295)*R267*Q$63/Q$64+SUM(Q268:Q$295)*(Q$64-Q$63)/Q$64*R267)</f>
        <v>0</v>
      </c>
      <c r="T267" s="35"/>
      <c r="U267" s="87">
        <f t="shared" si="705"/>
        <v>0</v>
      </c>
      <c r="V267" s="35">
        <f t="shared" si="706"/>
        <v>0</v>
      </c>
      <c r="W267" s="87"/>
      <c r="X267" s="87">
        <f t="shared" si="707"/>
        <v>0</v>
      </c>
      <c r="Y267" s="77" t="str">
        <f t="shared" si="708"/>
        <v xml:space="preserve">   </v>
      </c>
      <c r="Z267" s="87">
        <f>IF($A267&gt;'Debt Service'!X$58, 0, SUM(X267:X$295)*Y267*X$63/X$64+SUM(X268:X$295)*(X$64-X$63)/X$64*Y267)</f>
        <v>0</v>
      </c>
      <c r="AA267" s="87"/>
      <c r="AB267" s="87">
        <f t="shared" si="709"/>
        <v>112500000</v>
      </c>
      <c r="AC267" s="77">
        <f t="shared" si="710"/>
        <v>4.6700000000000005E-2</v>
      </c>
      <c r="AD267" s="87">
        <f>(SUM(AB267:AB$295)*AC267*AB$63/AB$64+SUM(AB268:AB$295)*(AB$64-AB$63)/AB$64*AC267)</f>
        <v>5253750.0000000009</v>
      </c>
      <c r="AE267" s="87"/>
      <c r="AF267" s="87">
        <f t="shared" si="711"/>
        <v>0</v>
      </c>
      <c r="AG267" s="77">
        <f t="shared" si="712"/>
        <v>4.6710000000000002E-2</v>
      </c>
      <c r="AH267" s="87">
        <f>(SUM(AF267:AF$295)*AG267*AF$63/AF$64+SUM(AF268:AF$295)*(AF$64-AF$63)/AF$64*AG267)</f>
        <v>436458.23999999999</v>
      </c>
      <c r="AI267" s="35"/>
      <c r="AJ267" s="87">
        <f t="shared" si="713"/>
        <v>0</v>
      </c>
      <c r="AK267" s="77">
        <f t="shared" si="714"/>
        <v>4.6710000000000002E-2</v>
      </c>
      <c r="AL267" s="87">
        <f>IF($A267&gt;'Debt Service'!AJ$58, 0, SUM(AJ267:AJ$295)*AK267*AJ$63/AJ$64+SUM(AJ268:AJ$295)*(AJ$64-AJ$63)/AJ$64*AK267)</f>
        <v>2188830.6</v>
      </c>
      <c r="AM267" s="35"/>
      <c r="AN267" s="87">
        <f t="shared" si="715"/>
        <v>0</v>
      </c>
      <c r="AO267" s="77" t="str">
        <f t="shared" si="716"/>
        <v xml:space="preserve">   </v>
      </c>
      <c r="AP267" s="87">
        <f>IF($A267&gt;'Debt Service'!AN$58, 0, SUM(AN267:AN$295)*AO267*AN$63/AN$64+SUM(AN268:AN$295)*(AN$64-AN$63)/AN$64*AO267)</f>
        <v>0</v>
      </c>
      <c r="AQ267" s="87"/>
      <c r="AR267" s="87">
        <f t="shared" si="717"/>
        <v>0</v>
      </c>
      <c r="AS267" s="77">
        <f t="shared" si="718"/>
        <v>4.6710000000000002E-2</v>
      </c>
      <c r="AT267" s="87">
        <f>IF($A267&gt;'Debt Service'!AR$58, 0, SUM(AR267:AR$295)*AS267*AR$63/AR$64+SUM(AR268:AR$295)*(AR$64-AR$63)/AR$64*AS267)</f>
        <v>2196677.88</v>
      </c>
      <c r="AV267" s="35">
        <f t="shared" si="719"/>
        <v>0</v>
      </c>
      <c r="AW267" s="35">
        <f t="shared" si="720"/>
        <v>4821966.72</v>
      </c>
      <c r="AX267" s="87"/>
      <c r="AY267" s="87">
        <f t="shared" si="721"/>
        <v>0</v>
      </c>
      <c r="AZ267" s="77">
        <f t="shared" si="722"/>
        <v>4.6710000000000002E-2</v>
      </c>
      <c r="BA267" s="87">
        <f>(SUM(AY267:AY$295)*AZ267*AY$63/AY$64+SUM(AY268:AY$295)*(AY$64-AY$63)/AY$64*AZ267)</f>
        <v>440895.69</v>
      </c>
      <c r="BB267" s="61"/>
      <c r="BC267" s="87">
        <f t="shared" si="723"/>
        <v>0</v>
      </c>
      <c r="BD267" s="77">
        <f t="shared" si="724"/>
        <v>4.6710000000000002E-2</v>
      </c>
      <c r="BE267" s="87">
        <f>IF($A267&gt;'Debt Service'!BC$58, 0, SUM(BC267:BC$295)*BD267*BC$63/BC$64+SUM(BC268:BC$295)*(BC$64-BC$63)/BC$64*BD267)</f>
        <v>1326610.71</v>
      </c>
      <c r="BF267" s="61"/>
      <c r="BG267" s="87">
        <f t="shared" si="725"/>
        <v>0</v>
      </c>
      <c r="BH267" s="77">
        <f t="shared" si="726"/>
        <v>4.6710000000000002E-2</v>
      </c>
      <c r="BI267" s="87">
        <f>IF($A267&gt;'Debt Service'!BG$58, 0, SUM(BG267:BG$295)*BH267*BG$63/BG$64+SUM(BG268:BG$295)*(BG$64-BG$63)/BG$64*BH267)</f>
        <v>3312533.0700000003</v>
      </c>
      <c r="BJ267" s="61"/>
      <c r="BK267" s="35">
        <f t="shared" si="761"/>
        <v>0</v>
      </c>
      <c r="BL267" s="35">
        <f t="shared" si="762"/>
        <v>5080039.4700000007</v>
      </c>
      <c r="BM267" s="86"/>
      <c r="BN267" s="87">
        <f t="shared" si="727"/>
        <v>0</v>
      </c>
      <c r="BO267" s="77">
        <f t="shared" si="728"/>
        <v>4.6710000000000002E-2</v>
      </c>
      <c r="BP267" s="87">
        <f>(SUM(BN267:BN$295)*BO267*BN$63/BN$64+SUM(BN268:BN$295)*(BN$64-BN$63)/BN$64*BO267)</f>
        <v>0</v>
      </c>
      <c r="BQ267" s="77"/>
      <c r="BR267" s="87">
        <f t="shared" si="729"/>
        <v>0</v>
      </c>
      <c r="BS267" s="77">
        <f t="shared" si="730"/>
        <v>4.6710000000000002E-2</v>
      </c>
      <c r="BT267" s="87">
        <f>IF($A267&gt;'Debt Service'!BR$58, 0, SUM(BR267:BR$295)*BS267*BR$63/BR$64+SUM(BR268:BR$295)*(BR$64-BR$63)/BR$64*BS267)</f>
        <v>3343128.12</v>
      </c>
      <c r="BU267" s="87"/>
      <c r="BV267" s="35">
        <f t="shared" si="763"/>
        <v>0</v>
      </c>
      <c r="BW267" s="35">
        <f t="shared" si="764"/>
        <v>3343128.12</v>
      </c>
      <c r="BX267" s="87"/>
      <c r="BY267" s="87"/>
      <c r="BZ267" s="77">
        <f t="shared" si="732"/>
        <v>4.6710000000000002E-2</v>
      </c>
      <c r="CA267" s="87">
        <f>(SUM(BY267:BY$295)*BZ267*BY$63/BY$64+SUM(BY268:BY$295)*(BY$64-BY$63)/BY$64*BZ267)</f>
        <v>0</v>
      </c>
      <c r="CB267" s="87"/>
      <c r="CC267" s="87">
        <f t="shared" si="733"/>
        <v>0</v>
      </c>
      <c r="CD267" s="77">
        <f t="shared" si="734"/>
        <v>4.6710000000000002E-2</v>
      </c>
      <c r="CE267" s="87">
        <f>IF(OR($A267&gt;'Debt Service'!CC$58,$A267&lt;CC$51), 0, SUM(CC267:CC$295)*CD267*CC$63/CC$64+SUM(CC268:CC$295)*(CC$64-CC$63)/CC$64*CD267)</f>
        <v>0</v>
      </c>
      <c r="CF267" s="87"/>
      <c r="CG267" s="87">
        <f t="shared" si="735"/>
        <v>0</v>
      </c>
      <c r="CH267" s="77">
        <f t="shared" si="736"/>
        <v>4.6710000000000002E-2</v>
      </c>
      <c r="CI267" s="87">
        <f>IF(OR($A267&gt;'Debt Service'!CG$58,$A267&lt;CG$51), 0, SUM(CG267:CG$295)*CH267*CG$63/CG$64+SUM(CG268:CG$295)*(CG$64-CG$63)/CG$64*CH267)</f>
        <v>3354852.33</v>
      </c>
      <c r="CJ267" s="87"/>
      <c r="CK267" s="87">
        <f t="shared" si="737"/>
        <v>0</v>
      </c>
      <c r="CL267" s="77">
        <f t="shared" si="738"/>
        <v>4.6710000000000002E-2</v>
      </c>
      <c r="CM267" s="87">
        <f>IF(OR($A267&gt;'Debt Service'!CK$58,$A267&lt;CK$51), 0, SUM(CK267:CK$295)*CL267*CK$63/CK$64+SUM(CK268:CK$295)*(CK$64-CK$63)/CK$64*CL267)</f>
        <v>3351582.6300000004</v>
      </c>
      <c r="CN267" s="87"/>
      <c r="CO267" s="162">
        <f t="shared" si="739"/>
        <v>0</v>
      </c>
      <c r="CP267" s="87">
        <f t="shared" si="740"/>
        <v>6706434.9600000009</v>
      </c>
      <c r="CQ267" s="87"/>
      <c r="CR267" s="87">
        <f t="shared" si="741"/>
        <v>0</v>
      </c>
      <c r="CS267" s="77">
        <f t="shared" si="742"/>
        <v>4.6710000000000002E-2</v>
      </c>
      <c r="CT267" s="87">
        <f>IF(OR($A267&gt;'Debt Service'!CR$58,$A267&lt;CR$51), 0, SUM(CR267:CR$295)*CS267*CR$63/CR$64+SUM(CR268:CR$295)*(CR$64-CR$63)/CR$64*CS267)</f>
        <v>0</v>
      </c>
      <c r="CU267" s="87"/>
      <c r="CV267" s="87">
        <f t="shared" si="743"/>
        <v>0</v>
      </c>
      <c r="CW267" s="77">
        <f t="shared" si="744"/>
        <v>4.6710000000000002E-2</v>
      </c>
      <c r="CX267" s="87">
        <f>IF(OR($A267&gt;'Debt Service'!CV$58,$A267&lt;CV$51), 0, SUM(CV267:CV$295)*CW267*CV$63/CV$64+SUM(CV268:CV$295)*(CV$64-CV$63)/CV$64*CW267)</f>
        <v>3345416.91</v>
      </c>
      <c r="CY267" s="87"/>
      <c r="CZ267" s="165">
        <f t="shared" si="745"/>
        <v>0</v>
      </c>
      <c r="DA267" s="165">
        <f t="shared" si="746"/>
        <v>3345416.91</v>
      </c>
      <c r="DB267" s="87"/>
      <c r="DC267" s="87">
        <f t="shared" si="747"/>
        <v>0</v>
      </c>
      <c r="DD267" s="77">
        <f t="shared" si="748"/>
        <v>4.6710000000000002E-2</v>
      </c>
      <c r="DE267" s="87">
        <f>IF($A267&gt;'Debt Service'!DC$58, 0, SUM(DC267:DC$295)*DD267*DC$63/DC$64+SUM(DC268:DC$295)*(DC$64-DC$63)/DC$64*DD267)</f>
        <v>6238867.8600000003</v>
      </c>
      <c r="DF267" s="87"/>
      <c r="DG267" s="87">
        <f t="shared" si="749"/>
        <v>0</v>
      </c>
      <c r="DH267" s="77">
        <f t="shared" si="750"/>
        <v>4.6710000000000002E-2</v>
      </c>
      <c r="DI267" s="87">
        <f>IF($A267&gt;'Debt Service'!DG$58, 0, SUM(DG267:DG$295)*DH267*DG$63/DG$64+SUM(DG268:DG$295)*(DG$64-DG$63)/DG$64*DH267)</f>
        <v>0</v>
      </c>
      <c r="DJ267" s="87"/>
      <c r="DK267" s="87">
        <f t="shared" si="751"/>
        <v>0</v>
      </c>
      <c r="DL267" s="77">
        <f t="shared" si="752"/>
        <v>4.6710000000000002E-2</v>
      </c>
      <c r="DM267" s="87">
        <f>IF($A267&gt;'Debt Service'!DK$58, 0, SUM(DK267:DK$295)*DL267*DK$63/DK$64+SUM(DK268:DK$295)*(DK$64-DK$63)/DK$64*DL267)</f>
        <v>0</v>
      </c>
      <c r="DN267" s="87"/>
      <c r="DO267" s="87">
        <f t="shared" si="753"/>
        <v>0</v>
      </c>
      <c r="DP267" s="77">
        <f t="shared" si="754"/>
        <v>4.6710000000000002E-2</v>
      </c>
      <c r="DQ267" s="87">
        <f>IF($A267&gt;'Debt Service'!DO$58, 0, SUM(DO267:DO$295)*DP267*DO$63/DO$64+SUM(DO268:DO$295)*(DO$64-DO$63)/DO$64*DP267)</f>
        <v>0</v>
      </c>
      <c r="DR267" s="87"/>
      <c r="DS267" s="87">
        <f t="shared" si="755"/>
        <v>0</v>
      </c>
      <c r="DT267" s="77">
        <f t="shared" si="756"/>
        <v>4.6710000000000002E-2</v>
      </c>
      <c r="DU267" s="87">
        <f>IF($A267&gt;'Debt Service'!DS$58, 0, SUM(DS267:DS$295)*DT267*DS$63/DS$64+SUM(DS268:DS$295)*(DS$64-DS$63)/DS$64*DT267)</f>
        <v>0</v>
      </c>
      <c r="DV267" s="87"/>
      <c r="DW267" s="165">
        <f t="shared" si="765"/>
        <v>0</v>
      </c>
      <c r="DX267" s="165">
        <f t="shared" si="766"/>
        <v>29535854.040000003</v>
      </c>
      <c r="DY267" s="87"/>
      <c r="DZ267" s="53">
        <f t="shared" si="757"/>
        <v>2032</v>
      </c>
      <c r="EA267" s="35">
        <f t="shared" si="758"/>
        <v>112500000</v>
      </c>
      <c r="EB267" s="35">
        <f t="shared" si="759"/>
        <v>34789604.040000007</v>
      </c>
      <c r="EC267" s="77">
        <f>IF($A267&gt;2042, VLOOKUP($A267, Assumptions!$A$8:$D$44, Assumptions!$D$1, FALSE) +'Debt Service'!DS$307, MAX(EB267/SUM(EA267:EA$295), EC268))</f>
        <v>4.6710000000000002E-2</v>
      </c>
      <c r="ED267" s="172">
        <f t="shared" si="767"/>
        <v>9</v>
      </c>
      <c r="EE267" s="61"/>
    </row>
    <row r="268" spans="1:135" s="33" customFormat="1" outlineLevel="1">
      <c r="A268" s="7">
        <f t="shared" si="760"/>
        <v>2033</v>
      </c>
      <c r="B268" s="151">
        <f>Assumptions!B17</f>
        <v>5.3800000000000001E-2</v>
      </c>
      <c r="C268" s="151">
        <f>Assumptions!C17</f>
        <v>5.3800000000000001E-2</v>
      </c>
      <c r="D268" s="151">
        <f>Assumptions!D17</f>
        <v>3.5000000000000003E-2</v>
      </c>
      <c r="E268" s="151">
        <f>Assumptions!E17</f>
        <v>5.2999999999999999E-2</v>
      </c>
      <c r="F268" s="8"/>
      <c r="G268" s="8"/>
      <c r="H268" s="8"/>
      <c r="I268" s="8"/>
      <c r="J268" s="8"/>
      <c r="K268" s="8"/>
      <c r="L268" s="86"/>
      <c r="M268" s="87">
        <f t="shared" si="701"/>
        <v>0</v>
      </c>
      <c r="N268" s="77" t="str">
        <f t="shared" si="702"/>
        <v xml:space="preserve">   </v>
      </c>
      <c r="O268" s="87">
        <f>IF($A268&gt;'Debt Service'!M$58, 0, SUM(M268:M$295)*N268*M$63/M$64+SUM(M269:M$295)*(M$64-M$63)/M$64*N268)</f>
        <v>0</v>
      </c>
      <c r="P268" s="35"/>
      <c r="Q268" s="87">
        <f t="shared" si="703"/>
        <v>0</v>
      </c>
      <c r="R268" s="77" t="str">
        <f t="shared" si="704"/>
        <v xml:space="preserve">   </v>
      </c>
      <c r="S268" s="87">
        <f>IF($A268&gt;'Debt Service'!Q$58, 0, SUM(Q268:Q$295)*R268*Q$63/Q$64+SUM(Q269:Q$295)*(Q$64-Q$63)/Q$64*R268)</f>
        <v>0</v>
      </c>
      <c r="T268" s="35"/>
      <c r="U268" s="87">
        <f t="shared" si="705"/>
        <v>0</v>
      </c>
      <c r="V268" s="35">
        <f t="shared" si="706"/>
        <v>0</v>
      </c>
      <c r="W268" s="87"/>
      <c r="X268" s="87">
        <f t="shared" si="707"/>
        <v>0</v>
      </c>
      <c r="Y268" s="77" t="str">
        <f t="shared" si="708"/>
        <v xml:space="preserve">   </v>
      </c>
      <c r="Z268" s="87">
        <f>IF($A268&gt;'Debt Service'!X$58, 0, SUM(X268:X$295)*Y268*X$63/X$64+SUM(X269:X$295)*(X$64-X$63)/X$64*Y268)</f>
        <v>0</v>
      </c>
      <c r="AA268" s="87"/>
      <c r="AB268" s="87">
        <f t="shared" si="709"/>
        <v>0</v>
      </c>
      <c r="AC268" s="77">
        <f t="shared" si="710"/>
        <v>4.3000000000000003E-2</v>
      </c>
      <c r="AD268" s="87">
        <f>(SUM(AB268:AB$295)*AC268*AB$63/AB$64+SUM(AB269:AB$295)*(AB$64-AB$63)/AB$64*AC268)</f>
        <v>0</v>
      </c>
      <c r="AE268" s="87"/>
      <c r="AF268" s="87">
        <f t="shared" si="711"/>
        <v>0</v>
      </c>
      <c r="AG268" s="77">
        <f t="shared" si="712"/>
        <v>4.6710000000000002E-2</v>
      </c>
      <c r="AH268" s="87">
        <f>(SUM(AF268:AF$295)*AG268*AF$63/AF$64+SUM(AF269:AF$295)*(AF$64-AF$63)/AF$64*AG268)</f>
        <v>436458.23999999999</v>
      </c>
      <c r="AI268" s="35"/>
      <c r="AJ268" s="87">
        <f t="shared" si="713"/>
        <v>0</v>
      </c>
      <c r="AK268" s="77">
        <f t="shared" si="714"/>
        <v>4.6710000000000002E-2</v>
      </c>
      <c r="AL268" s="87">
        <f>IF($A268&gt;'Debt Service'!AJ$58, 0, SUM(AJ268:AJ$295)*AK268*AJ$63/AJ$64+SUM(AJ269:AJ$295)*(AJ$64-AJ$63)/AJ$64*AK268)</f>
        <v>2188830.6</v>
      </c>
      <c r="AM268" s="35"/>
      <c r="AN268" s="87">
        <f t="shared" si="715"/>
        <v>0</v>
      </c>
      <c r="AO268" s="77" t="str">
        <f t="shared" si="716"/>
        <v xml:space="preserve">   </v>
      </c>
      <c r="AP268" s="87">
        <f>IF($A268&gt;'Debt Service'!AN$58, 0, SUM(AN268:AN$295)*AO268*AN$63/AN$64+SUM(AN269:AN$295)*(AN$64-AN$63)/AN$64*AO268)</f>
        <v>0</v>
      </c>
      <c r="AQ268" s="87"/>
      <c r="AR268" s="87">
        <f t="shared" si="717"/>
        <v>0</v>
      </c>
      <c r="AS268" s="77">
        <f t="shared" si="718"/>
        <v>4.6710000000000002E-2</v>
      </c>
      <c r="AT268" s="87">
        <f>IF($A268&gt;'Debt Service'!AR$58, 0, SUM(AR268:AR$295)*AS268*AR$63/AR$64+SUM(AR269:AR$295)*(AR$64-AR$63)/AR$64*AS268)</f>
        <v>2196677.88</v>
      </c>
      <c r="AV268" s="35">
        <f t="shared" si="719"/>
        <v>0</v>
      </c>
      <c r="AW268" s="35">
        <f t="shared" si="720"/>
        <v>4821966.72</v>
      </c>
      <c r="AX268" s="87"/>
      <c r="AY268" s="87">
        <f t="shared" si="721"/>
        <v>9439000</v>
      </c>
      <c r="AZ268" s="77">
        <f t="shared" si="722"/>
        <v>4.6710000000000002E-2</v>
      </c>
      <c r="BA268" s="87">
        <f>(SUM(AY268:AY$295)*AZ268*AY$63/AY$64+SUM(AY269:AY$295)*(AY$64-AY$63)/AY$64*AZ268)</f>
        <v>440895.69</v>
      </c>
      <c r="BB268" s="61"/>
      <c r="BC268" s="87">
        <f t="shared" si="723"/>
        <v>0</v>
      </c>
      <c r="BD268" s="77">
        <f t="shared" si="724"/>
        <v>4.6710000000000002E-2</v>
      </c>
      <c r="BE268" s="87">
        <f>IF($A268&gt;'Debt Service'!BC$58, 0, SUM(BC268:BC$295)*BD268*BC$63/BC$64+SUM(BC269:BC$295)*(BC$64-BC$63)/BC$64*BD268)</f>
        <v>1326610.71</v>
      </c>
      <c r="BF268" s="61"/>
      <c r="BG268" s="87">
        <f t="shared" si="725"/>
        <v>0</v>
      </c>
      <c r="BH268" s="77">
        <f t="shared" si="726"/>
        <v>4.6710000000000002E-2</v>
      </c>
      <c r="BI268" s="87">
        <f>IF($A268&gt;'Debt Service'!BG$58, 0, SUM(BG268:BG$295)*BH268*BG$63/BG$64+SUM(BG269:BG$295)*(BG$64-BG$63)/BG$64*BH268)</f>
        <v>3312533.0700000003</v>
      </c>
      <c r="BJ268" s="61"/>
      <c r="BK268" s="35">
        <f t="shared" si="761"/>
        <v>9439000</v>
      </c>
      <c r="BL268" s="35">
        <f t="shared" si="762"/>
        <v>5080039.4700000007</v>
      </c>
      <c r="BM268" s="86"/>
      <c r="BN268" s="87">
        <f t="shared" si="727"/>
        <v>0</v>
      </c>
      <c r="BO268" s="77">
        <f t="shared" si="728"/>
        <v>4.6710000000000002E-2</v>
      </c>
      <c r="BP268" s="87">
        <f>(SUM(BN268:BN$295)*BO268*BN$63/BN$64+SUM(BN269:BN$295)*(BN$64-BN$63)/BN$64*BO268)</f>
        <v>0</v>
      </c>
      <c r="BQ268" s="77"/>
      <c r="BR268" s="87">
        <f t="shared" si="729"/>
        <v>0</v>
      </c>
      <c r="BS268" s="77">
        <f t="shared" si="730"/>
        <v>4.6710000000000002E-2</v>
      </c>
      <c r="BT268" s="87">
        <f>IF($A268&gt;'Debt Service'!BR$58, 0, SUM(BR268:BR$295)*BS268*BR$63/BR$64+SUM(BR269:BR$295)*(BR$64-BR$63)/BR$64*BS268)</f>
        <v>3343128.12</v>
      </c>
      <c r="BU268" s="87"/>
      <c r="BV268" s="35">
        <f t="shared" si="763"/>
        <v>0</v>
      </c>
      <c r="BW268" s="35">
        <f t="shared" si="764"/>
        <v>3343128.12</v>
      </c>
      <c r="BX268" s="87"/>
      <c r="BY268" s="87"/>
      <c r="BZ268" s="77">
        <f t="shared" si="732"/>
        <v>4.6710000000000002E-2</v>
      </c>
      <c r="CA268" s="87">
        <f>(SUM(BY268:BY$295)*BZ268*BY$63/BY$64+SUM(BY269:BY$295)*(BY$64-BY$63)/BY$64*BZ268)</f>
        <v>0</v>
      </c>
      <c r="CB268" s="87"/>
      <c r="CC268" s="87">
        <f t="shared" si="733"/>
        <v>0</v>
      </c>
      <c r="CD268" s="77">
        <f t="shared" si="734"/>
        <v>4.6710000000000002E-2</v>
      </c>
      <c r="CE268" s="87">
        <f>IF(OR($A268&gt;'Debt Service'!CC$58,$A268&lt;CC$51), 0, SUM(CC268:CC$295)*CD268*CC$63/CC$64+SUM(CC269:CC$295)*(CC$64-CC$63)/CC$64*CD268)</f>
        <v>0</v>
      </c>
      <c r="CF268" s="87"/>
      <c r="CG268" s="87">
        <f t="shared" si="735"/>
        <v>0</v>
      </c>
      <c r="CH268" s="77">
        <f t="shared" si="736"/>
        <v>4.6710000000000002E-2</v>
      </c>
      <c r="CI268" s="87">
        <f>IF(OR($A268&gt;'Debt Service'!CG$58,$A268&lt;CG$51), 0, SUM(CG268:CG$295)*CH268*CG$63/CG$64+SUM(CG269:CG$295)*(CG$64-CG$63)/CG$64*CH268)</f>
        <v>3354852.33</v>
      </c>
      <c r="CJ268" s="87"/>
      <c r="CK268" s="87">
        <f t="shared" si="737"/>
        <v>0</v>
      </c>
      <c r="CL268" s="77">
        <f t="shared" si="738"/>
        <v>4.6710000000000002E-2</v>
      </c>
      <c r="CM268" s="87">
        <f>IF(OR($A268&gt;'Debt Service'!CK$58,$A268&lt;CK$51), 0, SUM(CK268:CK$295)*CL268*CK$63/CK$64+SUM(CK269:CK$295)*(CK$64-CK$63)/CK$64*CL268)</f>
        <v>3351582.6300000004</v>
      </c>
      <c r="CN268" s="87"/>
      <c r="CO268" s="162">
        <f t="shared" si="739"/>
        <v>0</v>
      </c>
      <c r="CP268" s="87">
        <f t="shared" si="740"/>
        <v>6706434.9600000009</v>
      </c>
      <c r="CQ268" s="87"/>
      <c r="CR268" s="87">
        <f t="shared" si="741"/>
        <v>0</v>
      </c>
      <c r="CS268" s="77">
        <f t="shared" si="742"/>
        <v>4.6710000000000002E-2</v>
      </c>
      <c r="CT268" s="87">
        <f>IF(OR($A268&gt;'Debt Service'!CR$58,$A268&lt;CR$51), 0, SUM(CR268:CR$295)*CS268*CR$63/CR$64+SUM(CR269:CR$295)*(CR$64-CR$63)/CR$64*CS268)</f>
        <v>0</v>
      </c>
      <c r="CU268" s="87"/>
      <c r="CV268" s="87">
        <f t="shared" si="743"/>
        <v>0</v>
      </c>
      <c r="CW268" s="77">
        <f t="shared" si="744"/>
        <v>4.6710000000000002E-2</v>
      </c>
      <c r="CX268" s="87">
        <f>IF(OR($A268&gt;'Debt Service'!CV$58,$A268&lt;CV$51), 0, SUM(CV268:CV$295)*CW268*CV$63/CV$64+SUM(CV269:CV$295)*(CV$64-CV$63)/CV$64*CW268)</f>
        <v>3345416.91</v>
      </c>
      <c r="CY268" s="87"/>
      <c r="CZ268" s="165">
        <f t="shared" si="745"/>
        <v>0</v>
      </c>
      <c r="DA268" s="165">
        <f t="shared" si="746"/>
        <v>3345416.91</v>
      </c>
      <c r="DB268" s="87"/>
      <c r="DC268" s="87">
        <f t="shared" si="747"/>
        <v>47353754.520314828</v>
      </c>
      <c r="DD268" s="77">
        <f t="shared" si="748"/>
        <v>4.6710000000000002E-2</v>
      </c>
      <c r="DE268" s="87">
        <f>IF($A268&gt;'Debt Service'!DC$58, 0, SUM(DC268:DC$295)*DD268*DC$63/DC$64+SUM(DC269:DC$295)*(DC$64-DC$63)/DC$64*DD268)</f>
        <v>5132920.9231780469</v>
      </c>
      <c r="DF268" s="87"/>
      <c r="DG268" s="87">
        <f t="shared" si="749"/>
        <v>0</v>
      </c>
      <c r="DH268" s="77">
        <f t="shared" si="750"/>
        <v>4.6710000000000002E-2</v>
      </c>
      <c r="DI268" s="87">
        <f>IF($A268&gt;'Debt Service'!DG$58, 0, SUM(DG268:DG$295)*DH268*DG$63/DG$64+SUM(DG269:DG$295)*(DG$64-DG$63)/DG$64*DH268)</f>
        <v>0</v>
      </c>
      <c r="DJ268" s="87"/>
      <c r="DK268" s="87">
        <f t="shared" si="751"/>
        <v>0</v>
      </c>
      <c r="DL268" s="77">
        <f t="shared" si="752"/>
        <v>4.6710000000000002E-2</v>
      </c>
      <c r="DM268" s="87">
        <f>IF($A268&gt;'Debt Service'!DK$58, 0, SUM(DK268:DK$295)*DL268*DK$63/DK$64+SUM(DK269:DK$295)*(DK$64-DK$63)/DK$64*DL268)</f>
        <v>0</v>
      </c>
      <c r="DN268" s="87"/>
      <c r="DO268" s="87">
        <f t="shared" si="753"/>
        <v>0</v>
      </c>
      <c r="DP268" s="77">
        <f t="shared" si="754"/>
        <v>4.6710000000000002E-2</v>
      </c>
      <c r="DQ268" s="87">
        <f>IF($A268&gt;'Debt Service'!DO$58, 0, SUM(DO268:DO$295)*DP268*DO$63/DO$64+SUM(DO269:DO$295)*(DO$64-DO$63)/DO$64*DP268)</f>
        <v>0</v>
      </c>
      <c r="DR268" s="87"/>
      <c r="DS268" s="87">
        <f t="shared" si="755"/>
        <v>0</v>
      </c>
      <c r="DT268" s="77">
        <f t="shared" si="756"/>
        <v>4.6710000000000002E-2</v>
      </c>
      <c r="DU268" s="87">
        <f>IF($A268&gt;'Debt Service'!DS$58, 0, SUM(DS268:DS$295)*DT268*DS$63/DS$64+SUM(DS269:DS$295)*(DS$64-DS$63)/DS$64*DT268)</f>
        <v>0</v>
      </c>
      <c r="DV268" s="87"/>
      <c r="DW268" s="165">
        <f t="shared" si="765"/>
        <v>56792754.520314828</v>
      </c>
      <c r="DX268" s="165">
        <f t="shared" si="766"/>
        <v>28429907.10317805</v>
      </c>
      <c r="DY268" s="87"/>
      <c r="DZ268" s="53">
        <f t="shared" si="757"/>
        <v>2033</v>
      </c>
      <c r="EA268" s="35">
        <f t="shared" si="758"/>
        <v>56792754.520314828</v>
      </c>
      <c r="EB268" s="35">
        <f t="shared" si="759"/>
        <v>28429907.10317805</v>
      </c>
      <c r="EC268" s="77">
        <f>IF($A268&gt;2042, VLOOKUP($A268, Assumptions!$A$8:$D$44, Assumptions!$D$1, FALSE) +'Debt Service'!DS$307, MAX(EB268/SUM(EA268:EA$295), EC269))</f>
        <v>4.6710000000000002E-2</v>
      </c>
      <c r="ED268" s="172">
        <f t="shared" si="767"/>
        <v>10</v>
      </c>
      <c r="EE268" s="61"/>
    </row>
    <row r="269" spans="1:135" s="33" customFormat="1" outlineLevel="1">
      <c r="A269" s="7">
        <f t="shared" si="760"/>
        <v>2034</v>
      </c>
      <c r="B269" s="151">
        <f>Assumptions!B18</f>
        <v>5.3800000000000001E-2</v>
      </c>
      <c r="C269" s="151">
        <f>Assumptions!C18</f>
        <v>5.3800000000000001E-2</v>
      </c>
      <c r="D269" s="151">
        <f>Assumptions!D18</f>
        <v>3.5000000000000003E-2</v>
      </c>
      <c r="E269" s="151">
        <f>Assumptions!E18</f>
        <v>5.2999999999999999E-2</v>
      </c>
      <c r="F269" s="8"/>
      <c r="G269" s="8"/>
      <c r="H269" s="8"/>
      <c r="I269" s="8"/>
      <c r="J269" s="8"/>
      <c r="K269" s="8"/>
      <c r="L269" s="86"/>
      <c r="M269" s="87">
        <f t="shared" si="701"/>
        <v>0</v>
      </c>
      <c r="N269" s="77" t="str">
        <f t="shared" si="702"/>
        <v xml:space="preserve">   </v>
      </c>
      <c r="O269" s="87">
        <f>IF($A269&gt;'Debt Service'!M$58, 0, SUM(M269:M$295)*N269*M$63/M$64+SUM(M270:M$295)*(M$64-M$63)/M$64*N269)</f>
        <v>0</v>
      </c>
      <c r="P269" s="35"/>
      <c r="Q269" s="87">
        <f t="shared" si="703"/>
        <v>0</v>
      </c>
      <c r="R269" s="77" t="str">
        <f t="shared" si="704"/>
        <v xml:space="preserve">   </v>
      </c>
      <c r="S269" s="87">
        <f>IF($A269&gt;'Debt Service'!Q$58, 0, SUM(Q269:Q$295)*R269*Q$63/Q$64+SUM(Q270:Q$295)*(Q$64-Q$63)/Q$64*R269)</f>
        <v>0</v>
      </c>
      <c r="T269" s="35"/>
      <c r="U269" s="87">
        <f t="shared" si="705"/>
        <v>0</v>
      </c>
      <c r="V269" s="35">
        <f t="shared" si="706"/>
        <v>0</v>
      </c>
      <c r="W269" s="87"/>
      <c r="X269" s="87">
        <f t="shared" si="707"/>
        <v>0</v>
      </c>
      <c r="Y269" s="77" t="str">
        <f t="shared" si="708"/>
        <v xml:space="preserve">   </v>
      </c>
      <c r="Z269" s="87">
        <f>IF($A269&gt;'Debt Service'!X$58, 0, SUM(X269:X$295)*Y269*X$63/X$64+SUM(X270:X$295)*(X$64-X$63)/X$64*Y269)</f>
        <v>0</v>
      </c>
      <c r="AA269" s="87"/>
      <c r="AB269" s="87">
        <f t="shared" si="709"/>
        <v>0</v>
      </c>
      <c r="AC269" s="77">
        <f t="shared" si="710"/>
        <v>4.3000000000000003E-2</v>
      </c>
      <c r="AD269" s="87">
        <f>(SUM(AB269:AB$295)*AC269*AB$63/AB$64+SUM(AB270:AB$295)*(AB$64-AB$63)/AB$64*AC269)</f>
        <v>0</v>
      </c>
      <c r="AE269" s="87"/>
      <c r="AF269" s="87">
        <f t="shared" si="711"/>
        <v>0</v>
      </c>
      <c r="AG269" s="77">
        <f t="shared" si="712"/>
        <v>4.6710000000000002E-2</v>
      </c>
      <c r="AH269" s="87">
        <f>(SUM(AF269:AF$295)*AG269*AF$63/AF$64+SUM(AF270:AF$295)*(AF$64-AF$63)/AF$64*AG269)</f>
        <v>436458.23999999999</v>
      </c>
      <c r="AI269" s="35"/>
      <c r="AJ269" s="87">
        <f t="shared" si="713"/>
        <v>0</v>
      </c>
      <c r="AK269" s="77">
        <f t="shared" si="714"/>
        <v>4.6710000000000002E-2</v>
      </c>
      <c r="AL269" s="87">
        <f>IF($A269&gt;'Debt Service'!AJ$58, 0, SUM(AJ269:AJ$295)*AK269*AJ$63/AJ$64+SUM(AJ270:AJ$295)*(AJ$64-AJ$63)/AJ$64*AK269)</f>
        <v>2188830.6</v>
      </c>
      <c r="AM269" s="35"/>
      <c r="AN269" s="87">
        <f t="shared" si="715"/>
        <v>0</v>
      </c>
      <c r="AO269" s="77" t="str">
        <f t="shared" si="716"/>
        <v xml:space="preserve">   </v>
      </c>
      <c r="AP269" s="87">
        <f>IF($A269&gt;'Debt Service'!AN$58, 0, SUM(AN269:AN$295)*AO269*AN$63/AN$64+SUM(AN270:AN$295)*(AN$64-AN$63)/AN$64*AO269)</f>
        <v>0</v>
      </c>
      <c r="AQ269" s="87"/>
      <c r="AR269" s="87">
        <f t="shared" si="717"/>
        <v>0</v>
      </c>
      <c r="AS269" s="77">
        <f t="shared" si="718"/>
        <v>4.6710000000000002E-2</v>
      </c>
      <c r="AT269" s="87">
        <f>IF($A269&gt;'Debt Service'!AR$58, 0, SUM(AR269:AR$295)*AS269*AR$63/AR$64+SUM(AR270:AR$295)*(AR$64-AR$63)/AR$64*AS269)</f>
        <v>2196677.88</v>
      </c>
      <c r="AV269" s="35">
        <f t="shared" si="719"/>
        <v>0</v>
      </c>
      <c r="AW269" s="35">
        <f t="shared" si="720"/>
        <v>4821966.72</v>
      </c>
      <c r="AX269" s="87"/>
      <c r="AY269" s="87">
        <f t="shared" si="721"/>
        <v>0</v>
      </c>
      <c r="AZ269" s="77">
        <f t="shared" si="722"/>
        <v>4.6710000000000002E-2</v>
      </c>
      <c r="BA269" s="87">
        <f>(SUM(AY269:AY$295)*AZ269*AY$63/AY$64+SUM(AY270:AY$295)*(AY$64-AY$63)/AY$64*AZ269)</f>
        <v>0</v>
      </c>
      <c r="BB269" s="61"/>
      <c r="BC269" s="87">
        <f t="shared" si="723"/>
        <v>0</v>
      </c>
      <c r="BD269" s="77">
        <f t="shared" si="724"/>
        <v>4.6710000000000002E-2</v>
      </c>
      <c r="BE269" s="87">
        <f>IF($A269&gt;'Debt Service'!BC$58, 0, SUM(BC269:BC$295)*BD269*BC$63/BC$64+SUM(BC270:BC$295)*(BC$64-BC$63)/BC$64*BD269)</f>
        <v>1326610.71</v>
      </c>
      <c r="BF269" s="61"/>
      <c r="BG269" s="87">
        <f t="shared" si="725"/>
        <v>0</v>
      </c>
      <c r="BH269" s="77">
        <f t="shared" si="726"/>
        <v>4.6710000000000002E-2</v>
      </c>
      <c r="BI269" s="87">
        <f>IF($A269&gt;'Debt Service'!BG$58, 0, SUM(BG269:BG$295)*BH269*BG$63/BG$64+SUM(BG270:BG$295)*(BG$64-BG$63)/BG$64*BH269)</f>
        <v>3312533.0700000003</v>
      </c>
      <c r="BJ269" s="61"/>
      <c r="BK269" s="35">
        <f t="shared" si="761"/>
        <v>0</v>
      </c>
      <c r="BL269" s="35">
        <f t="shared" si="762"/>
        <v>4639143.78</v>
      </c>
      <c r="BM269" s="86"/>
      <c r="BN269" s="87">
        <f t="shared" si="727"/>
        <v>0</v>
      </c>
      <c r="BO269" s="77">
        <f t="shared" si="728"/>
        <v>4.6710000000000002E-2</v>
      </c>
      <c r="BP269" s="87">
        <f>(SUM(BN269:BN$295)*BO269*BN$63/BN$64+SUM(BN270:BN$295)*(BN$64-BN$63)/BN$64*BO269)</f>
        <v>0</v>
      </c>
      <c r="BQ269" s="77"/>
      <c r="BR269" s="87">
        <f t="shared" si="729"/>
        <v>0</v>
      </c>
      <c r="BS269" s="77">
        <f t="shared" si="730"/>
        <v>4.6710000000000002E-2</v>
      </c>
      <c r="BT269" s="87">
        <f>IF($A269&gt;'Debt Service'!BR$58, 0, SUM(BR269:BR$295)*BS269*BR$63/BR$64+SUM(BR270:BR$295)*(BR$64-BR$63)/BR$64*BS269)</f>
        <v>3343128.12</v>
      </c>
      <c r="BU269" s="87"/>
      <c r="BV269" s="35">
        <f t="shared" si="763"/>
        <v>0</v>
      </c>
      <c r="BW269" s="35">
        <f t="shared" si="764"/>
        <v>3343128.12</v>
      </c>
      <c r="BX269" s="87"/>
      <c r="BY269" s="87"/>
      <c r="BZ269" s="77">
        <f t="shared" si="732"/>
        <v>4.6710000000000002E-2</v>
      </c>
      <c r="CA269" s="87">
        <f>(SUM(BY269:BY$295)*BZ269*BY$63/BY$64+SUM(BY270:BY$295)*(BY$64-BY$63)/BY$64*BZ269)</f>
        <v>0</v>
      </c>
      <c r="CB269" s="87"/>
      <c r="CC269" s="87">
        <f t="shared" si="733"/>
        <v>0</v>
      </c>
      <c r="CD269" s="77">
        <f t="shared" si="734"/>
        <v>4.6710000000000002E-2</v>
      </c>
      <c r="CE269" s="87">
        <f>IF(OR($A269&gt;'Debt Service'!CC$58,$A269&lt;CC$51), 0, SUM(CC269:CC$295)*CD269*CC$63/CC$64+SUM(CC270:CC$295)*(CC$64-CC$63)/CC$64*CD269)</f>
        <v>0</v>
      </c>
      <c r="CF269" s="87"/>
      <c r="CG269" s="87">
        <f t="shared" si="735"/>
        <v>0</v>
      </c>
      <c r="CH269" s="77">
        <f t="shared" si="736"/>
        <v>4.6710000000000002E-2</v>
      </c>
      <c r="CI269" s="87">
        <f>IF(OR($A269&gt;'Debt Service'!CG$58,$A269&lt;CG$51), 0, SUM(CG269:CG$295)*CH269*CG$63/CG$64+SUM(CG270:CG$295)*(CG$64-CG$63)/CG$64*CH269)</f>
        <v>3354852.33</v>
      </c>
      <c r="CJ269" s="87"/>
      <c r="CK269" s="87">
        <f t="shared" si="737"/>
        <v>0</v>
      </c>
      <c r="CL269" s="77">
        <f t="shared" si="738"/>
        <v>4.6710000000000002E-2</v>
      </c>
      <c r="CM269" s="87">
        <f>IF(OR($A269&gt;'Debt Service'!CK$58,$A269&lt;CK$51), 0, SUM(CK269:CK$295)*CL269*CK$63/CK$64+SUM(CK270:CK$295)*(CK$64-CK$63)/CK$64*CL269)</f>
        <v>3351582.6300000004</v>
      </c>
      <c r="CN269" s="87"/>
      <c r="CO269" s="162">
        <f t="shared" si="739"/>
        <v>0</v>
      </c>
      <c r="CP269" s="87">
        <f t="shared" si="740"/>
        <v>6706434.9600000009</v>
      </c>
      <c r="CQ269" s="87"/>
      <c r="CR269" s="87">
        <f t="shared" si="741"/>
        <v>0</v>
      </c>
      <c r="CS269" s="77">
        <f t="shared" si="742"/>
        <v>4.6710000000000002E-2</v>
      </c>
      <c r="CT269" s="87">
        <f>IF(OR($A269&gt;'Debt Service'!CR$58,$A269&lt;CR$51), 0, SUM(CR269:CR$295)*CS269*CR$63/CR$64+SUM(CR270:CR$295)*(CR$64-CR$63)/CR$64*CS269)</f>
        <v>0</v>
      </c>
      <c r="CU269" s="87"/>
      <c r="CV269" s="87">
        <f t="shared" si="743"/>
        <v>0</v>
      </c>
      <c r="CW269" s="77">
        <f t="shared" si="744"/>
        <v>4.6710000000000002E-2</v>
      </c>
      <c r="CX269" s="87">
        <f>IF(OR($A269&gt;'Debt Service'!CV$58,$A269&lt;CV$51), 0, SUM(CV269:CV$295)*CW269*CV$63/CV$64+SUM(CV270:CV$295)*(CV$64-CV$63)/CV$64*CW269)</f>
        <v>3345416.91</v>
      </c>
      <c r="CY269" s="87"/>
      <c r="CZ269" s="165">
        <f t="shared" si="745"/>
        <v>0</v>
      </c>
      <c r="DA269" s="165">
        <f t="shared" si="746"/>
        <v>3345416.91</v>
      </c>
      <c r="DB269" s="87"/>
      <c r="DC269" s="87">
        <f t="shared" si="747"/>
        <v>38858490.959370345</v>
      </c>
      <c r="DD269" s="77">
        <f t="shared" si="748"/>
        <v>4.6710000000000002E-2</v>
      </c>
      <c r="DE269" s="87">
        <f>IF($A269&gt;'Debt Service'!DC$58, 0, SUM(DC269:DC$295)*DD269*DC$63/DC$64+SUM(DC270:DC$295)*(DC$64-DC$63)/DC$64*DD269)</f>
        <v>0</v>
      </c>
      <c r="DF269" s="87"/>
      <c r="DG269" s="87">
        <f t="shared" si="749"/>
        <v>0</v>
      </c>
      <c r="DH269" s="77">
        <f t="shared" si="750"/>
        <v>4.6710000000000002E-2</v>
      </c>
      <c r="DI269" s="87">
        <f>IF($A269&gt;'Debt Service'!DG$58, 0, SUM(DG269:DG$295)*DH269*DG$63/DG$64+SUM(DG270:DG$295)*(DG$64-DG$63)/DG$64*DH269)</f>
        <v>0</v>
      </c>
      <c r="DJ269" s="87"/>
      <c r="DK269" s="87">
        <f t="shared" si="751"/>
        <v>0</v>
      </c>
      <c r="DL269" s="77">
        <f t="shared" si="752"/>
        <v>4.6710000000000002E-2</v>
      </c>
      <c r="DM269" s="87">
        <f>IF($A269&gt;'Debt Service'!DK$58, 0, SUM(DK269:DK$295)*DL269*DK$63/DK$64+SUM(DK270:DK$295)*(DK$64-DK$63)/DK$64*DL269)</f>
        <v>0</v>
      </c>
      <c r="DN269" s="87"/>
      <c r="DO269" s="87">
        <f t="shared" si="753"/>
        <v>0</v>
      </c>
      <c r="DP269" s="77">
        <f t="shared" si="754"/>
        <v>4.6710000000000002E-2</v>
      </c>
      <c r="DQ269" s="87">
        <f>IF($A269&gt;'Debt Service'!DO$58, 0, SUM(DO269:DO$295)*DP269*DO$63/DO$64+SUM(DO270:DO$295)*(DO$64-DO$63)/DO$64*DP269)</f>
        <v>0</v>
      </c>
      <c r="DR269" s="87"/>
      <c r="DS269" s="87">
        <f t="shared" si="755"/>
        <v>0</v>
      </c>
      <c r="DT269" s="77">
        <f t="shared" si="756"/>
        <v>4.6710000000000002E-2</v>
      </c>
      <c r="DU269" s="87">
        <f>IF($A269&gt;'Debt Service'!DS$58, 0, SUM(DS269:DS$295)*DT269*DS$63/DS$64+SUM(DS270:DS$295)*(DS$64-DS$63)/DS$64*DT269)</f>
        <v>0</v>
      </c>
      <c r="DV269" s="87"/>
      <c r="DW269" s="165">
        <f t="shared" si="765"/>
        <v>38858490.959370345</v>
      </c>
      <c r="DX269" s="165">
        <f t="shared" si="766"/>
        <v>22856090.490000002</v>
      </c>
      <c r="DY269" s="87"/>
      <c r="DZ269" s="53">
        <f t="shared" si="757"/>
        <v>2034</v>
      </c>
      <c r="EA269" s="35">
        <f t="shared" si="758"/>
        <v>38858490.959370345</v>
      </c>
      <c r="EB269" s="35">
        <f t="shared" si="759"/>
        <v>22856090.490000002</v>
      </c>
      <c r="EC269" s="77">
        <f>IF($A269&gt;2042, VLOOKUP($A269, Assumptions!$A$8:$D$44, Assumptions!$D$1, FALSE) +'Debt Service'!DS$307, MAX(EB269/SUM(EA269:EA$295), EC270))</f>
        <v>4.6710000000000002E-2</v>
      </c>
      <c r="ED269" s="172">
        <f t="shared" si="767"/>
        <v>11</v>
      </c>
      <c r="EE269" s="61"/>
    </row>
    <row r="270" spans="1:135" s="33" customFormat="1" outlineLevel="1">
      <c r="A270" s="7">
        <f t="shared" si="760"/>
        <v>2035</v>
      </c>
      <c r="B270" s="151">
        <f>Assumptions!B19</f>
        <v>5.3800000000000001E-2</v>
      </c>
      <c r="C270" s="151">
        <f>Assumptions!C19</f>
        <v>5.3800000000000001E-2</v>
      </c>
      <c r="D270" s="151">
        <f>Assumptions!D19</f>
        <v>3.5000000000000003E-2</v>
      </c>
      <c r="E270" s="151">
        <f>Assumptions!E19</f>
        <v>5.2999999999999999E-2</v>
      </c>
      <c r="F270" s="8"/>
      <c r="G270" s="8"/>
      <c r="H270" s="8"/>
      <c r="I270" s="8"/>
      <c r="J270" s="8"/>
      <c r="K270" s="8"/>
      <c r="L270" s="86"/>
      <c r="M270" s="87">
        <f t="shared" si="701"/>
        <v>0</v>
      </c>
      <c r="N270" s="77" t="str">
        <f t="shared" si="702"/>
        <v xml:space="preserve">   </v>
      </c>
      <c r="O270" s="87">
        <f>IF($A270&gt;'Debt Service'!M$58, 0, SUM(M270:M$295)*N270*M$63/M$64+SUM(M271:M$295)*(M$64-M$63)/M$64*N270)</f>
        <v>0</v>
      </c>
      <c r="P270" s="35"/>
      <c r="Q270" s="87">
        <f t="shared" si="703"/>
        <v>0</v>
      </c>
      <c r="R270" s="77" t="str">
        <f t="shared" si="704"/>
        <v xml:space="preserve">   </v>
      </c>
      <c r="S270" s="87">
        <f>IF($A270&gt;'Debt Service'!Q$58, 0, SUM(Q270:Q$295)*R270*Q$63/Q$64+SUM(Q271:Q$295)*(Q$64-Q$63)/Q$64*R270)</f>
        <v>0</v>
      </c>
      <c r="T270" s="35"/>
      <c r="U270" s="87">
        <f t="shared" si="705"/>
        <v>0</v>
      </c>
      <c r="V270" s="35">
        <f t="shared" si="706"/>
        <v>0</v>
      </c>
      <c r="W270" s="87"/>
      <c r="X270" s="87">
        <f t="shared" si="707"/>
        <v>0</v>
      </c>
      <c r="Y270" s="77" t="str">
        <f t="shared" si="708"/>
        <v xml:space="preserve">   </v>
      </c>
      <c r="Z270" s="87">
        <f>IF($A270&gt;'Debt Service'!X$58, 0, SUM(X270:X$295)*Y270*X$63/X$64+SUM(X271:X$295)*(X$64-X$63)/X$64*Y270)</f>
        <v>0</v>
      </c>
      <c r="AA270" s="87"/>
      <c r="AB270" s="87">
        <f t="shared" si="709"/>
        <v>0</v>
      </c>
      <c r="AC270" s="77">
        <f t="shared" si="710"/>
        <v>4.3000000000000003E-2</v>
      </c>
      <c r="AD270" s="87">
        <f>(SUM(AB270:AB$295)*AC270*AB$63/AB$64+SUM(AB271:AB$295)*(AB$64-AB$63)/AB$64*AC270)</f>
        <v>0</v>
      </c>
      <c r="AE270" s="87"/>
      <c r="AF270" s="87">
        <f t="shared" si="711"/>
        <v>0</v>
      </c>
      <c r="AG270" s="77">
        <f t="shared" si="712"/>
        <v>4.6710000000000002E-2</v>
      </c>
      <c r="AH270" s="87">
        <f>(SUM(AF270:AF$295)*AG270*AF$63/AF$64+SUM(AF271:AF$295)*(AF$64-AF$63)/AF$64*AG270)</f>
        <v>436458.23999999999</v>
      </c>
      <c r="AI270" s="35"/>
      <c r="AJ270" s="87">
        <f t="shared" si="713"/>
        <v>0</v>
      </c>
      <c r="AK270" s="77">
        <f t="shared" si="714"/>
        <v>4.6710000000000002E-2</v>
      </c>
      <c r="AL270" s="87">
        <f>IF($A270&gt;'Debt Service'!AJ$58, 0, SUM(AJ270:AJ$295)*AK270*AJ$63/AJ$64+SUM(AJ271:AJ$295)*(AJ$64-AJ$63)/AJ$64*AK270)</f>
        <v>2188830.6</v>
      </c>
      <c r="AM270" s="35"/>
      <c r="AN270" s="87">
        <f t="shared" si="715"/>
        <v>0</v>
      </c>
      <c r="AO270" s="77" t="str">
        <f t="shared" si="716"/>
        <v xml:space="preserve">   </v>
      </c>
      <c r="AP270" s="87">
        <f>IF($A270&gt;'Debt Service'!AN$58, 0, SUM(AN270:AN$295)*AO270*AN$63/AN$64+SUM(AN271:AN$295)*(AN$64-AN$63)/AN$64*AO270)</f>
        <v>0</v>
      </c>
      <c r="AQ270" s="87"/>
      <c r="AR270" s="87">
        <f t="shared" si="717"/>
        <v>0</v>
      </c>
      <c r="AS270" s="77">
        <f t="shared" si="718"/>
        <v>4.6710000000000002E-2</v>
      </c>
      <c r="AT270" s="87">
        <f>IF($A270&gt;'Debt Service'!AR$58, 0, SUM(AR270:AR$295)*AS270*AR$63/AR$64+SUM(AR271:AR$295)*(AR$64-AR$63)/AR$64*AS270)</f>
        <v>2196677.88</v>
      </c>
      <c r="AV270" s="35">
        <f t="shared" si="719"/>
        <v>0</v>
      </c>
      <c r="AW270" s="35">
        <f t="shared" si="720"/>
        <v>4821966.72</v>
      </c>
      <c r="AX270" s="87"/>
      <c r="AY270" s="87">
        <f t="shared" si="721"/>
        <v>0</v>
      </c>
      <c r="AZ270" s="77">
        <f t="shared" si="722"/>
        <v>4.6710000000000002E-2</v>
      </c>
      <c r="BA270" s="87">
        <f>(SUM(AY270:AY$295)*AZ270*AY$63/AY$64+SUM(AY271:AY$295)*(AY$64-AY$63)/AY$64*AZ270)</f>
        <v>0</v>
      </c>
      <c r="BB270" s="61"/>
      <c r="BC270" s="87">
        <f t="shared" si="723"/>
        <v>0</v>
      </c>
      <c r="BD270" s="77">
        <f t="shared" si="724"/>
        <v>4.6710000000000002E-2</v>
      </c>
      <c r="BE270" s="87">
        <f>IF($A270&gt;'Debt Service'!BC$58, 0, SUM(BC270:BC$295)*BD270*BC$63/BC$64+SUM(BC271:BC$295)*(BC$64-BC$63)/BC$64*BD270)</f>
        <v>1326610.71</v>
      </c>
      <c r="BF270" s="61"/>
      <c r="BG270" s="87">
        <f t="shared" si="725"/>
        <v>0</v>
      </c>
      <c r="BH270" s="77">
        <f t="shared" si="726"/>
        <v>4.6710000000000002E-2</v>
      </c>
      <c r="BI270" s="87">
        <f>IF($A270&gt;'Debt Service'!BG$58, 0, SUM(BG270:BG$295)*BH270*BG$63/BG$64+SUM(BG271:BG$295)*(BG$64-BG$63)/BG$64*BH270)</f>
        <v>3312533.0700000003</v>
      </c>
      <c r="BJ270" s="61"/>
      <c r="BK270" s="35">
        <f t="shared" si="761"/>
        <v>0</v>
      </c>
      <c r="BL270" s="35">
        <f t="shared" si="762"/>
        <v>4639143.78</v>
      </c>
      <c r="BM270" s="86"/>
      <c r="BN270" s="87">
        <f t="shared" si="727"/>
        <v>0</v>
      </c>
      <c r="BO270" s="77">
        <f t="shared" si="728"/>
        <v>4.6710000000000002E-2</v>
      </c>
      <c r="BP270" s="87">
        <f>(SUM(BN270:BN$295)*BO270*BN$63/BN$64+SUM(BN271:BN$295)*(BN$64-BN$63)/BN$64*BO270)</f>
        <v>0</v>
      </c>
      <c r="BQ270" s="77"/>
      <c r="BR270" s="87">
        <f t="shared" si="729"/>
        <v>0</v>
      </c>
      <c r="BS270" s="77">
        <f t="shared" si="730"/>
        <v>4.6710000000000002E-2</v>
      </c>
      <c r="BT270" s="87">
        <f>IF($A270&gt;'Debt Service'!BR$58, 0, SUM(BR270:BR$295)*BS270*BR$63/BR$64+SUM(BR271:BR$295)*(BR$64-BR$63)/BR$64*BS270)</f>
        <v>3343128.12</v>
      </c>
      <c r="BU270" s="87"/>
      <c r="BV270" s="35">
        <f t="shared" si="763"/>
        <v>0</v>
      </c>
      <c r="BW270" s="35">
        <f t="shared" si="764"/>
        <v>3343128.12</v>
      </c>
      <c r="BX270" s="87"/>
      <c r="BY270" s="87"/>
      <c r="BZ270" s="77">
        <f t="shared" si="732"/>
        <v>4.6710000000000002E-2</v>
      </c>
      <c r="CA270" s="87">
        <f>(SUM(BY270:BY$295)*BZ270*BY$63/BY$64+SUM(BY271:BY$295)*(BY$64-BY$63)/BY$64*BZ270)</f>
        <v>0</v>
      </c>
      <c r="CB270" s="87"/>
      <c r="CC270" s="87">
        <f t="shared" si="733"/>
        <v>0</v>
      </c>
      <c r="CD270" s="77">
        <f t="shared" si="734"/>
        <v>4.6710000000000002E-2</v>
      </c>
      <c r="CE270" s="87">
        <f>IF(OR($A270&gt;'Debt Service'!CC$58,$A270&lt;CC$51), 0, SUM(CC270:CC$295)*CD270*CC$63/CC$64+SUM(CC271:CC$295)*(CC$64-CC$63)/CC$64*CD270)</f>
        <v>0</v>
      </c>
      <c r="CF270" s="87"/>
      <c r="CG270" s="87">
        <f t="shared" si="735"/>
        <v>0</v>
      </c>
      <c r="CH270" s="77">
        <f t="shared" si="736"/>
        <v>4.6710000000000002E-2</v>
      </c>
      <c r="CI270" s="87">
        <f>IF(OR($A270&gt;'Debt Service'!CG$58,$A270&lt;CG$51), 0, SUM(CG270:CG$295)*CH270*CG$63/CG$64+SUM(CG271:CG$295)*(CG$64-CG$63)/CG$64*CH270)</f>
        <v>3354852.33</v>
      </c>
      <c r="CJ270" s="87"/>
      <c r="CK270" s="87">
        <f t="shared" si="737"/>
        <v>0</v>
      </c>
      <c r="CL270" s="77">
        <f t="shared" si="738"/>
        <v>4.6710000000000002E-2</v>
      </c>
      <c r="CM270" s="87">
        <f>IF(OR($A270&gt;'Debt Service'!CK$58,$A270&lt;CK$51), 0, SUM(CK270:CK$295)*CL270*CK$63/CK$64+SUM(CK271:CK$295)*(CK$64-CK$63)/CK$64*CL270)</f>
        <v>3351582.6300000004</v>
      </c>
      <c r="CN270" s="87"/>
      <c r="CO270" s="162">
        <f t="shared" si="739"/>
        <v>0</v>
      </c>
      <c r="CP270" s="87">
        <f t="shared" si="740"/>
        <v>6706434.9600000009</v>
      </c>
      <c r="CQ270" s="87"/>
      <c r="CR270" s="87">
        <f t="shared" si="741"/>
        <v>0</v>
      </c>
      <c r="CS270" s="77">
        <f t="shared" si="742"/>
        <v>4.6710000000000002E-2</v>
      </c>
      <c r="CT270" s="87">
        <f>IF(OR($A270&gt;'Debt Service'!CR$58,$A270&lt;CR$51), 0, SUM(CR270:CR$295)*CS270*CR$63/CR$64+SUM(CR271:CR$295)*(CR$64-CR$63)/CR$64*CS270)</f>
        <v>0</v>
      </c>
      <c r="CU270" s="87"/>
      <c r="CV270" s="87">
        <f t="shared" si="743"/>
        <v>0</v>
      </c>
      <c r="CW270" s="77">
        <f t="shared" si="744"/>
        <v>4.6710000000000002E-2</v>
      </c>
      <c r="CX270" s="87">
        <f>IF(OR($A270&gt;'Debt Service'!CV$58,$A270&lt;CV$51), 0, SUM(CV270:CV$295)*CW270*CV$63/CV$64+SUM(CV271:CV$295)*(CV$64-CV$63)/CV$64*CW270)</f>
        <v>3345416.91</v>
      </c>
      <c r="CY270" s="87"/>
      <c r="CZ270" s="165">
        <f t="shared" si="745"/>
        <v>0</v>
      </c>
      <c r="DA270" s="165">
        <f t="shared" si="746"/>
        <v>3345416.91</v>
      </c>
      <c r="DB270" s="87"/>
      <c r="DC270" s="87">
        <f t="shared" si="747"/>
        <v>47353754.520314828</v>
      </c>
      <c r="DD270" s="77">
        <f t="shared" si="748"/>
        <v>4.6710000000000002E-2</v>
      </c>
      <c r="DE270" s="87">
        <f>IF($A270&gt;'Debt Service'!DC$58, 0, SUM(DC270:DC$295)*DD270*DC$63/DC$64+SUM(DC271:DC$295)*(DC$64-DC$63)/DC$64*DD270)</f>
        <v>0</v>
      </c>
      <c r="DF270" s="87"/>
      <c r="DG270" s="87">
        <f t="shared" si="749"/>
        <v>0</v>
      </c>
      <c r="DH270" s="77">
        <f t="shared" si="750"/>
        <v>4.6710000000000002E-2</v>
      </c>
      <c r="DI270" s="87">
        <f>IF($A270&gt;'Debt Service'!DG$58, 0, SUM(DG270:DG$295)*DH270*DG$63/DG$64+SUM(DG271:DG$295)*(DG$64-DG$63)/DG$64*DH270)</f>
        <v>0</v>
      </c>
      <c r="DJ270" s="87"/>
      <c r="DK270" s="87">
        <f t="shared" si="751"/>
        <v>0</v>
      </c>
      <c r="DL270" s="77">
        <f t="shared" si="752"/>
        <v>4.6710000000000002E-2</v>
      </c>
      <c r="DM270" s="87">
        <f>IF($A270&gt;'Debt Service'!DK$58, 0, SUM(DK270:DK$295)*DL270*DK$63/DK$64+SUM(DK271:DK$295)*(DK$64-DK$63)/DK$64*DL270)</f>
        <v>0</v>
      </c>
      <c r="DN270" s="87"/>
      <c r="DO270" s="87">
        <f t="shared" si="753"/>
        <v>0</v>
      </c>
      <c r="DP270" s="77">
        <f t="shared" si="754"/>
        <v>4.6710000000000002E-2</v>
      </c>
      <c r="DQ270" s="87">
        <f>IF($A270&gt;'Debt Service'!DO$58, 0, SUM(DO270:DO$295)*DP270*DO$63/DO$64+SUM(DO271:DO$295)*(DO$64-DO$63)/DO$64*DP270)</f>
        <v>0</v>
      </c>
      <c r="DR270" s="87"/>
      <c r="DS270" s="87">
        <f t="shared" si="755"/>
        <v>0</v>
      </c>
      <c r="DT270" s="77">
        <f t="shared" si="756"/>
        <v>4.6710000000000002E-2</v>
      </c>
      <c r="DU270" s="87">
        <f>IF($A270&gt;'Debt Service'!DS$58, 0, SUM(DS270:DS$295)*DT270*DS$63/DS$64+SUM(DS271:DS$295)*(DS$64-DS$63)/DS$64*DT270)</f>
        <v>0</v>
      </c>
      <c r="DV270" s="87"/>
      <c r="DW270" s="165">
        <f t="shared" si="765"/>
        <v>47353754.520314828</v>
      </c>
      <c r="DX270" s="165">
        <f t="shared" si="766"/>
        <v>22856090.490000002</v>
      </c>
      <c r="DY270" s="87"/>
      <c r="DZ270" s="53">
        <f t="shared" si="757"/>
        <v>2035</v>
      </c>
      <c r="EA270" s="35">
        <f t="shared" si="758"/>
        <v>47353754.520314828</v>
      </c>
      <c r="EB270" s="35">
        <f t="shared" si="759"/>
        <v>22856090.490000002</v>
      </c>
      <c r="EC270" s="77">
        <f>IF($A270&gt;2042, VLOOKUP($A270, Assumptions!$A$8:$D$44, Assumptions!$D$1, FALSE) +'Debt Service'!DS$307, MAX(EB270/SUM(EA270:EA$295), EC271))</f>
        <v>4.6710000000000002E-2</v>
      </c>
      <c r="ED270" s="172">
        <f t="shared" si="767"/>
        <v>12</v>
      </c>
      <c r="EE270" s="61"/>
    </row>
    <row r="271" spans="1:135" s="33" customFormat="1" outlineLevel="1">
      <c r="A271" s="7">
        <f t="shared" si="760"/>
        <v>2036</v>
      </c>
      <c r="B271" s="151">
        <f>Assumptions!B20</f>
        <v>5.3800000000000001E-2</v>
      </c>
      <c r="C271" s="151">
        <f>Assumptions!C20</f>
        <v>5.3800000000000001E-2</v>
      </c>
      <c r="D271" s="151">
        <f>Assumptions!D20</f>
        <v>3.5000000000000003E-2</v>
      </c>
      <c r="E271" s="151">
        <f>Assumptions!E20</f>
        <v>5.2999999999999999E-2</v>
      </c>
      <c r="F271" s="8"/>
      <c r="G271" s="8"/>
      <c r="H271" s="8"/>
      <c r="I271" s="8"/>
      <c r="J271" s="8"/>
      <c r="K271" s="8"/>
      <c r="L271" s="86"/>
      <c r="M271" s="87">
        <f t="shared" si="701"/>
        <v>0</v>
      </c>
      <c r="N271" s="77" t="str">
        <f t="shared" si="702"/>
        <v xml:space="preserve">   </v>
      </c>
      <c r="O271" s="87">
        <f>IF($A271&gt;'Debt Service'!M$58, 0, SUM(M271:M$295)*N271*M$63/M$64+SUM(M272:M$295)*(M$64-M$63)/M$64*N271)</f>
        <v>0</v>
      </c>
      <c r="P271" s="35"/>
      <c r="Q271" s="87">
        <f t="shared" si="703"/>
        <v>0</v>
      </c>
      <c r="R271" s="77" t="str">
        <f t="shared" si="704"/>
        <v xml:space="preserve">   </v>
      </c>
      <c r="S271" s="87">
        <f>IF($A271&gt;'Debt Service'!Q$58, 0, SUM(Q271:Q$295)*R271*Q$63/Q$64+SUM(Q272:Q$295)*(Q$64-Q$63)/Q$64*R271)</f>
        <v>0</v>
      </c>
      <c r="T271" s="35"/>
      <c r="U271" s="87">
        <f t="shared" si="705"/>
        <v>0</v>
      </c>
      <c r="V271" s="35">
        <f t="shared" si="706"/>
        <v>0</v>
      </c>
      <c r="W271" s="87"/>
      <c r="X271" s="87">
        <f t="shared" si="707"/>
        <v>0</v>
      </c>
      <c r="Y271" s="77" t="str">
        <f t="shared" si="708"/>
        <v xml:space="preserve">   </v>
      </c>
      <c r="Z271" s="87">
        <f>IF($A271&gt;'Debt Service'!X$58, 0, SUM(X271:X$295)*Y271*X$63/X$64+SUM(X272:X$295)*(X$64-X$63)/X$64*Y271)</f>
        <v>0</v>
      </c>
      <c r="AA271" s="87"/>
      <c r="AB271" s="87">
        <f t="shared" si="709"/>
        <v>0</v>
      </c>
      <c r="AC271" s="77">
        <f t="shared" si="710"/>
        <v>4.3000000000000003E-2</v>
      </c>
      <c r="AD271" s="87">
        <f>(SUM(AB271:AB$295)*AC271*AB$63/AB$64+SUM(AB272:AB$295)*(AB$64-AB$63)/AB$64*AC271)</f>
        <v>0</v>
      </c>
      <c r="AE271" s="87"/>
      <c r="AF271" s="87">
        <f t="shared" si="711"/>
        <v>0</v>
      </c>
      <c r="AG271" s="77">
        <f t="shared" si="712"/>
        <v>4.6710000000000002E-2</v>
      </c>
      <c r="AH271" s="87">
        <f>(SUM(AF271:AF$295)*AG271*AF$63/AF$64+SUM(AF272:AF$295)*(AF$64-AF$63)/AF$64*AG271)</f>
        <v>436458.23999999999</v>
      </c>
      <c r="AI271" s="35"/>
      <c r="AJ271" s="87">
        <f t="shared" si="713"/>
        <v>0</v>
      </c>
      <c r="AK271" s="77">
        <f t="shared" si="714"/>
        <v>4.6710000000000002E-2</v>
      </c>
      <c r="AL271" s="87">
        <f>IF($A271&gt;'Debt Service'!AJ$58, 0, SUM(AJ271:AJ$295)*AK271*AJ$63/AJ$64+SUM(AJ272:AJ$295)*(AJ$64-AJ$63)/AJ$64*AK271)</f>
        <v>2188830.6</v>
      </c>
      <c r="AM271" s="35"/>
      <c r="AN271" s="87">
        <f t="shared" si="715"/>
        <v>0</v>
      </c>
      <c r="AO271" s="77" t="str">
        <f t="shared" si="716"/>
        <v xml:space="preserve">   </v>
      </c>
      <c r="AP271" s="87">
        <f>IF($A271&gt;'Debt Service'!AN$58, 0, SUM(AN271:AN$295)*AO271*AN$63/AN$64+SUM(AN272:AN$295)*(AN$64-AN$63)/AN$64*AO271)</f>
        <v>0</v>
      </c>
      <c r="AQ271" s="87"/>
      <c r="AR271" s="87">
        <f t="shared" si="717"/>
        <v>0</v>
      </c>
      <c r="AS271" s="77">
        <f t="shared" si="718"/>
        <v>4.6710000000000002E-2</v>
      </c>
      <c r="AT271" s="87">
        <f>IF($A271&gt;'Debt Service'!AR$58, 0, SUM(AR271:AR$295)*AS271*AR$63/AR$64+SUM(AR272:AR$295)*(AR$64-AR$63)/AR$64*AS271)</f>
        <v>2196677.88</v>
      </c>
      <c r="AV271" s="35">
        <f t="shared" si="719"/>
        <v>0</v>
      </c>
      <c r="AW271" s="35">
        <f t="shared" si="720"/>
        <v>4821966.72</v>
      </c>
      <c r="AX271" s="87"/>
      <c r="AY271" s="87">
        <f t="shared" si="721"/>
        <v>0</v>
      </c>
      <c r="AZ271" s="77">
        <f t="shared" si="722"/>
        <v>4.6710000000000002E-2</v>
      </c>
      <c r="BA271" s="87">
        <f>(SUM(AY271:AY$295)*AZ271*AY$63/AY$64+SUM(AY272:AY$295)*(AY$64-AY$63)/AY$64*AZ271)</f>
        <v>0</v>
      </c>
      <c r="BB271" s="61"/>
      <c r="BC271" s="87">
        <f t="shared" si="723"/>
        <v>0</v>
      </c>
      <c r="BD271" s="77">
        <f t="shared" si="724"/>
        <v>4.6710000000000002E-2</v>
      </c>
      <c r="BE271" s="87">
        <f>IF($A271&gt;'Debt Service'!BC$58, 0, SUM(BC271:BC$295)*BD271*BC$63/BC$64+SUM(BC272:BC$295)*(BC$64-BC$63)/BC$64*BD271)</f>
        <v>1326610.71</v>
      </c>
      <c r="BF271" s="61"/>
      <c r="BG271" s="87">
        <f t="shared" si="725"/>
        <v>0</v>
      </c>
      <c r="BH271" s="77">
        <f t="shared" si="726"/>
        <v>4.6710000000000002E-2</v>
      </c>
      <c r="BI271" s="87">
        <f>IF($A271&gt;'Debt Service'!BG$58, 0, SUM(BG271:BG$295)*BH271*BG$63/BG$64+SUM(BG272:BG$295)*(BG$64-BG$63)/BG$64*BH271)</f>
        <v>3312533.0700000003</v>
      </c>
      <c r="BJ271" s="61"/>
      <c r="BK271" s="35">
        <f t="shared" si="761"/>
        <v>0</v>
      </c>
      <c r="BL271" s="35">
        <f t="shared" si="762"/>
        <v>4639143.78</v>
      </c>
      <c r="BM271" s="86"/>
      <c r="BN271" s="87">
        <f t="shared" si="727"/>
        <v>0</v>
      </c>
      <c r="BO271" s="77">
        <f t="shared" si="728"/>
        <v>4.6710000000000002E-2</v>
      </c>
      <c r="BP271" s="87">
        <f>(SUM(BN271:BN$295)*BO271*BN$63/BN$64+SUM(BN272:BN$295)*(BN$64-BN$63)/BN$64*BO271)</f>
        <v>0</v>
      </c>
      <c r="BQ271" s="77"/>
      <c r="BR271" s="87">
        <f t="shared" si="729"/>
        <v>0</v>
      </c>
      <c r="BS271" s="77">
        <f t="shared" si="730"/>
        <v>4.6710000000000002E-2</v>
      </c>
      <c r="BT271" s="87">
        <f>IF($A271&gt;'Debt Service'!BR$58, 0, SUM(BR271:BR$295)*BS271*BR$63/BR$64+SUM(BR272:BR$295)*(BR$64-BR$63)/BR$64*BS271)</f>
        <v>3343128.12</v>
      </c>
      <c r="BU271" s="87"/>
      <c r="BV271" s="35">
        <f t="shared" si="763"/>
        <v>0</v>
      </c>
      <c r="BW271" s="35">
        <f t="shared" si="764"/>
        <v>3343128.12</v>
      </c>
      <c r="BX271" s="87"/>
      <c r="BY271" s="87"/>
      <c r="BZ271" s="77">
        <f t="shared" si="732"/>
        <v>4.6710000000000002E-2</v>
      </c>
      <c r="CA271" s="87">
        <f>(SUM(BY271:BY$295)*BZ271*BY$63/BY$64+SUM(BY272:BY$295)*(BY$64-BY$63)/BY$64*BZ271)</f>
        <v>0</v>
      </c>
      <c r="CB271" s="87"/>
      <c r="CC271" s="87">
        <f t="shared" si="733"/>
        <v>0</v>
      </c>
      <c r="CD271" s="77">
        <f t="shared" si="734"/>
        <v>4.6710000000000002E-2</v>
      </c>
      <c r="CE271" s="87">
        <f>IF(OR($A271&gt;'Debt Service'!CC$58,$A271&lt;CC$51), 0, SUM(CC271:CC$295)*CD271*CC$63/CC$64+SUM(CC272:CC$295)*(CC$64-CC$63)/CC$64*CD271)</f>
        <v>0</v>
      </c>
      <c r="CF271" s="87"/>
      <c r="CG271" s="87">
        <f t="shared" si="735"/>
        <v>0</v>
      </c>
      <c r="CH271" s="77">
        <f t="shared" si="736"/>
        <v>4.6710000000000002E-2</v>
      </c>
      <c r="CI271" s="87">
        <f>IF(OR($A271&gt;'Debt Service'!CG$58,$A271&lt;CG$51), 0, SUM(CG271:CG$295)*CH271*CG$63/CG$64+SUM(CG272:CG$295)*(CG$64-CG$63)/CG$64*CH271)</f>
        <v>3354852.33</v>
      </c>
      <c r="CJ271" s="87"/>
      <c r="CK271" s="87">
        <f t="shared" si="737"/>
        <v>0</v>
      </c>
      <c r="CL271" s="77">
        <f t="shared" si="738"/>
        <v>4.6710000000000002E-2</v>
      </c>
      <c r="CM271" s="87">
        <f>IF(OR($A271&gt;'Debt Service'!CK$58,$A271&lt;CK$51), 0, SUM(CK271:CK$295)*CL271*CK$63/CK$64+SUM(CK272:CK$295)*(CK$64-CK$63)/CK$64*CL271)</f>
        <v>3351582.6300000004</v>
      </c>
      <c r="CN271" s="87"/>
      <c r="CO271" s="162">
        <f t="shared" si="739"/>
        <v>0</v>
      </c>
      <c r="CP271" s="87">
        <f t="shared" si="740"/>
        <v>6706434.9600000009</v>
      </c>
      <c r="CQ271" s="87"/>
      <c r="CR271" s="87">
        <f t="shared" si="741"/>
        <v>0</v>
      </c>
      <c r="CS271" s="77">
        <f t="shared" si="742"/>
        <v>4.6710000000000002E-2</v>
      </c>
      <c r="CT271" s="87">
        <f>IF(OR($A271&gt;'Debt Service'!CR$58,$A271&lt;CR$51), 0, SUM(CR271:CR$295)*CS271*CR$63/CR$64+SUM(CR272:CR$295)*(CR$64-CR$63)/CR$64*CS271)</f>
        <v>0</v>
      </c>
      <c r="CU271" s="87"/>
      <c r="CV271" s="87">
        <f t="shared" si="743"/>
        <v>0</v>
      </c>
      <c r="CW271" s="77">
        <f t="shared" si="744"/>
        <v>4.6710000000000002E-2</v>
      </c>
      <c r="CX271" s="87">
        <f>IF(OR($A271&gt;'Debt Service'!CV$58,$A271&lt;CV$51), 0, SUM(CV271:CV$295)*CW271*CV$63/CV$64+SUM(CV272:CV$295)*(CV$64-CV$63)/CV$64*CW271)</f>
        <v>3345416.91</v>
      </c>
      <c r="CY271" s="87"/>
      <c r="CZ271" s="165">
        <f t="shared" si="745"/>
        <v>0</v>
      </c>
      <c r="DA271" s="165">
        <f t="shared" si="746"/>
        <v>3345416.91</v>
      </c>
      <c r="DB271" s="87"/>
      <c r="DC271" s="87">
        <f t="shared" si="747"/>
        <v>0</v>
      </c>
      <c r="DD271" s="77">
        <f t="shared" si="748"/>
        <v>4.6710000000000002E-2</v>
      </c>
      <c r="DE271" s="87">
        <f>IF($A271&gt;'Debt Service'!DC$58, 0, SUM(DC271:DC$295)*DD271*DC$63/DC$64+SUM(DC272:DC$295)*(DC$64-DC$63)/DC$64*DD271)</f>
        <v>0</v>
      </c>
      <c r="DF271" s="87"/>
      <c r="DG271" s="87">
        <f t="shared" si="749"/>
        <v>0</v>
      </c>
      <c r="DH271" s="77">
        <f t="shared" si="750"/>
        <v>4.6710000000000002E-2</v>
      </c>
      <c r="DI271" s="87">
        <f>IF($A271&gt;'Debt Service'!DG$58, 0, SUM(DG271:DG$295)*DH271*DG$63/DG$64+SUM(DG272:DG$295)*(DG$64-DG$63)/DG$64*DH271)</f>
        <v>0</v>
      </c>
      <c r="DJ271" s="87"/>
      <c r="DK271" s="87">
        <f t="shared" si="751"/>
        <v>0</v>
      </c>
      <c r="DL271" s="77">
        <f t="shared" si="752"/>
        <v>4.6710000000000002E-2</v>
      </c>
      <c r="DM271" s="87">
        <f>IF($A271&gt;'Debt Service'!DK$58, 0, SUM(DK271:DK$295)*DL271*DK$63/DK$64+SUM(DK272:DK$295)*(DK$64-DK$63)/DK$64*DL271)</f>
        <v>0</v>
      </c>
      <c r="DN271" s="87"/>
      <c r="DO271" s="87">
        <f t="shared" si="753"/>
        <v>0</v>
      </c>
      <c r="DP271" s="77">
        <f t="shared" si="754"/>
        <v>4.6710000000000002E-2</v>
      </c>
      <c r="DQ271" s="87">
        <f>IF($A271&gt;'Debt Service'!DO$58, 0, SUM(DO271:DO$295)*DP271*DO$63/DO$64+SUM(DO272:DO$295)*(DO$64-DO$63)/DO$64*DP271)</f>
        <v>0</v>
      </c>
      <c r="DR271" s="87"/>
      <c r="DS271" s="87">
        <f t="shared" si="755"/>
        <v>0</v>
      </c>
      <c r="DT271" s="77">
        <f t="shared" si="756"/>
        <v>4.6710000000000002E-2</v>
      </c>
      <c r="DU271" s="87">
        <f>IF($A271&gt;'Debt Service'!DS$58, 0, SUM(DS271:DS$295)*DT271*DS$63/DS$64+SUM(DS272:DS$295)*(DS$64-DS$63)/DS$64*DT271)</f>
        <v>0</v>
      </c>
      <c r="DV271" s="87"/>
      <c r="DW271" s="165">
        <f t="shared" si="765"/>
        <v>0</v>
      </c>
      <c r="DX271" s="165">
        <f t="shared" si="766"/>
        <v>22856090.490000002</v>
      </c>
      <c r="DY271" s="87"/>
      <c r="DZ271" s="53">
        <f t="shared" si="757"/>
        <v>2036</v>
      </c>
      <c r="EA271" s="35">
        <f t="shared" si="758"/>
        <v>0</v>
      </c>
      <c r="EB271" s="35">
        <f t="shared" si="759"/>
        <v>22856090.490000002</v>
      </c>
      <c r="EC271" s="77">
        <f>IF($A271&gt;2042, VLOOKUP($A271, Assumptions!$A$8:$D$44, Assumptions!$D$1, FALSE) +'Debt Service'!DS$307, MAX(EB271/SUM(EA271:EA$295), EC272))</f>
        <v>4.6710000000000002E-2</v>
      </c>
      <c r="ED271" s="172">
        <f t="shared" si="767"/>
        <v>13</v>
      </c>
      <c r="EE271" s="61"/>
    </row>
    <row r="272" spans="1:135" s="33" customFormat="1" outlineLevel="1">
      <c r="A272" s="7">
        <f t="shared" si="760"/>
        <v>2037</v>
      </c>
      <c r="B272" s="151">
        <f>Assumptions!B21</f>
        <v>5.3800000000000001E-2</v>
      </c>
      <c r="C272" s="151">
        <f>Assumptions!C21</f>
        <v>5.3800000000000001E-2</v>
      </c>
      <c r="D272" s="151">
        <f>Assumptions!D21</f>
        <v>3.5000000000000003E-2</v>
      </c>
      <c r="E272" s="151">
        <f>Assumptions!E21</f>
        <v>5.2999999999999999E-2</v>
      </c>
      <c r="F272" s="8"/>
      <c r="G272" s="8"/>
      <c r="H272" s="8"/>
      <c r="I272" s="8"/>
      <c r="J272" s="8"/>
      <c r="K272" s="8"/>
      <c r="L272" s="86"/>
      <c r="M272" s="87">
        <f t="shared" si="701"/>
        <v>0</v>
      </c>
      <c r="N272" s="77" t="str">
        <f t="shared" si="702"/>
        <v xml:space="preserve">   </v>
      </c>
      <c r="O272" s="87">
        <f>IF($A272&gt;'Debt Service'!M$58, 0, SUM(M272:M$295)*N272*M$63/M$64+SUM(M273:M$295)*(M$64-M$63)/M$64*N272)</f>
        <v>0</v>
      </c>
      <c r="P272" s="35"/>
      <c r="Q272" s="87">
        <f t="shared" si="703"/>
        <v>0</v>
      </c>
      <c r="R272" s="77" t="str">
        <f t="shared" si="704"/>
        <v xml:space="preserve">   </v>
      </c>
      <c r="S272" s="87">
        <f>IF($A272&gt;'Debt Service'!Q$58, 0, SUM(Q272:Q$295)*R272*Q$63/Q$64+SUM(Q273:Q$295)*(Q$64-Q$63)/Q$64*R272)</f>
        <v>0</v>
      </c>
      <c r="T272" s="35"/>
      <c r="U272" s="87">
        <f t="shared" si="705"/>
        <v>0</v>
      </c>
      <c r="V272" s="35">
        <f t="shared" si="706"/>
        <v>0</v>
      </c>
      <c r="W272" s="87"/>
      <c r="X272" s="87">
        <f t="shared" si="707"/>
        <v>0</v>
      </c>
      <c r="Y272" s="77" t="str">
        <f t="shared" si="708"/>
        <v xml:space="preserve">   </v>
      </c>
      <c r="Z272" s="87">
        <f>IF($A272&gt;'Debt Service'!X$58, 0, SUM(X272:X$295)*Y272*X$63/X$64+SUM(X273:X$295)*(X$64-X$63)/X$64*Y272)</f>
        <v>0</v>
      </c>
      <c r="AA272" s="87"/>
      <c r="AB272" s="87">
        <f t="shared" si="709"/>
        <v>0</v>
      </c>
      <c r="AC272" s="77">
        <f t="shared" si="710"/>
        <v>4.3000000000000003E-2</v>
      </c>
      <c r="AD272" s="87">
        <f>(SUM(AB272:AB$295)*AC272*AB$63/AB$64+SUM(AB273:AB$295)*(AB$64-AB$63)/AB$64*AC272)</f>
        <v>0</v>
      </c>
      <c r="AE272" s="87"/>
      <c r="AF272" s="87">
        <f t="shared" si="711"/>
        <v>9344000</v>
      </c>
      <c r="AG272" s="77">
        <f t="shared" si="712"/>
        <v>4.6710000000000002E-2</v>
      </c>
      <c r="AH272" s="87">
        <f>(SUM(AF272:AF$295)*AG272*AF$63/AF$64+SUM(AF273:AF$295)*(AF$64-AF$63)/AF$64*AG272)</f>
        <v>218229.12</v>
      </c>
      <c r="AI272" s="35"/>
      <c r="AJ272" s="87">
        <f t="shared" si="713"/>
        <v>0</v>
      </c>
      <c r="AK272" s="77">
        <f t="shared" si="714"/>
        <v>4.6710000000000002E-2</v>
      </c>
      <c r="AL272" s="87">
        <f>IF($A272&gt;'Debt Service'!AJ$58, 0, SUM(AJ272:AJ$295)*AK272*AJ$63/AJ$64+SUM(AJ273:AJ$295)*(AJ$64-AJ$63)/AJ$64*AK272)</f>
        <v>2188830.6</v>
      </c>
      <c r="AM272" s="35"/>
      <c r="AN272" s="87">
        <f t="shared" si="715"/>
        <v>0</v>
      </c>
      <c r="AO272" s="77" t="str">
        <f t="shared" si="716"/>
        <v xml:space="preserve">   </v>
      </c>
      <c r="AP272" s="87">
        <f>IF($A272&gt;'Debt Service'!AN$58, 0, SUM(AN272:AN$295)*AO272*AN$63/AN$64+SUM(AN273:AN$295)*(AN$64-AN$63)/AN$64*AO272)</f>
        <v>0</v>
      </c>
      <c r="AQ272" s="87"/>
      <c r="AR272" s="87">
        <f t="shared" si="717"/>
        <v>47028000</v>
      </c>
      <c r="AS272" s="77">
        <f t="shared" si="718"/>
        <v>4.6710000000000002E-2</v>
      </c>
      <c r="AT272" s="87">
        <f>IF($A272&gt;'Debt Service'!AR$58, 0, SUM(AR272:AR$295)*AS272*AR$63/AR$64+SUM(AR273:AR$295)*(AR$64-AR$63)/AR$64*AS272)</f>
        <v>1098338.94</v>
      </c>
      <c r="AV272" s="35">
        <f t="shared" si="719"/>
        <v>56372000</v>
      </c>
      <c r="AW272" s="35">
        <f t="shared" si="720"/>
        <v>3505398.66</v>
      </c>
      <c r="AX272" s="87"/>
      <c r="AY272" s="87">
        <f t="shared" si="721"/>
        <v>0</v>
      </c>
      <c r="AZ272" s="77">
        <f t="shared" si="722"/>
        <v>4.6710000000000002E-2</v>
      </c>
      <c r="BA272" s="87">
        <f>(SUM(AY272:AY$295)*AZ272*AY$63/AY$64+SUM(AY273:AY$295)*(AY$64-AY$63)/AY$64*AZ272)</f>
        <v>0</v>
      </c>
      <c r="BB272" s="61"/>
      <c r="BC272" s="87">
        <f t="shared" si="723"/>
        <v>0</v>
      </c>
      <c r="BD272" s="77">
        <f t="shared" si="724"/>
        <v>4.6710000000000002E-2</v>
      </c>
      <c r="BE272" s="87">
        <f>IF($A272&gt;'Debt Service'!BC$58, 0, SUM(BC272:BC$295)*BD272*BC$63/BC$64+SUM(BC273:BC$295)*(BC$64-BC$63)/BC$64*BD272)</f>
        <v>1326610.71</v>
      </c>
      <c r="BF272" s="61"/>
      <c r="BG272" s="87">
        <f t="shared" si="725"/>
        <v>0</v>
      </c>
      <c r="BH272" s="77">
        <f t="shared" si="726"/>
        <v>4.6710000000000002E-2</v>
      </c>
      <c r="BI272" s="87">
        <f>IF($A272&gt;'Debt Service'!BG$58, 0, SUM(BG272:BG$295)*BH272*BG$63/BG$64+SUM(BG273:BG$295)*(BG$64-BG$63)/BG$64*BH272)</f>
        <v>3312533.0700000003</v>
      </c>
      <c r="BJ272" s="61"/>
      <c r="BK272" s="35">
        <f t="shared" si="761"/>
        <v>0</v>
      </c>
      <c r="BL272" s="35">
        <f t="shared" si="762"/>
        <v>4639143.78</v>
      </c>
      <c r="BM272" s="86"/>
      <c r="BN272" s="87">
        <f t="shared" si="727"/>
        <v>0</v>
      </c>
      <c r="BO272" s="77">
        <f t="shared" si="728"/>
        <v>4.6710000000000002E-2</v>
      </c>
      <c r="BP272" s="87">
        <f>(SUM(BN272:BN$295)*BO272*BN$63/BN$64+SUM(BN273:BN$295)*(BN$64-BN$63)/BN$64*BO272)</f>
        <v>0</v>
      </c>
      <c r="BQ272" s="77"/>
      <c r="BR272" s="87">
        <f t="shared" si="729"/>
        <v>0</v>
      </c>
      <c r="BS272" s="77">
        <f t="shared" si="730"/>
        <v>4.6710000000000002E-2</v>
      </c>
      <c r="BT272" s="87">
        <f>IF($A272&gt;'Debt Service'!BR$58, 0, SUM(BR272:BR$295)*BS272*BR$63/BR$64+SUM(BR273:BR$295)*(BR$64-BR$63)/BR$64*BS272)</f>
        <v>3343128.12</v>
      </c>
      <c r="BU272" s="87"/>
      <c r="BV272" s="35">
        <f t="shared" si="763"/>
        <v>0</v>
      </c>
      <c r="BW272" s="35">
        <f t="shared" si="764"/>
        <v>3343128.12</v>
      </c>
      <c r="BX272" s="87"/>
      <c r="BY272" s="87"/>
      <c r="BZ272" s="77">
        <f t="shared" si="732"/>
        <v>4.6710000000000002E-2</v>
      </c>
      <c r="CA272" s="87">
        <f>(SUM(BY272:BY$295)*BZ272*BY$63/BY$64+SUM(BY273:BY$295)*(BY$64-BY$63)/BY$64*BZ272)</f>
        <v>0</v>
      </c>
      <c r="CB272" s="87"/>
      <c r="CC272" s="87">
        <f t="shared" si="733"/>
        <v>0</v>
      </c>
      <c r="CD272" s="77">
        <f t="shared" si="734"/>
        <v>4.6710000000000002E-2</v>
      </c>
      <c r="CE272" s="87">
        <f>IF(OR($A272&gt;'Debt Service'!CC$58,$A272&lt;CC$51), 0, SUM(CC272:CC$295)*CD272*CC$63/CC$64+SUM(CC273:CC$295)*(CC$64-CC$63)/CC$64*CD272)</f>
        <v>0</v>
      </c>
      <c r="CF272" s="87"/>
      <c r="CG272" s="87">
        <f t="shared" si="735"/>
        <v>0</v>
      </c>
      <c r="CH272" s="77">
        <f t="shared" si="736"/>
        <v>4.6710000000000002E-2</v>
      </c>
      <c r="CI272" s="87">
        <f>IF(OR($A272&gt;'Debt Service'!CG$58,$A272&lt;CG$51), 0, SUM(CG272:CG$295)*CH272*CG$63/CG$64+SUM(CG273:CG$295)*(CG$64-CG$63)/CG$64*CH272)</f>
        <v>3354852.33</v>
      </c>
      <c r="CJ272" s="87"/>
      <c r="CK272" s="87">
        <f t="shared" si="737"/>
        <v>0</v>
      </c>
      <c r="CL272" s="77">
        <f t="shared" si="738"/>
        <v>4.6710000000000002E-2</v>
      </c>
      <c r="CM272" s="87">
        <f>IF(OR($A272&gt;'Debt Service'!CK$58,$A272&lt;CK$51), 0, SUM(CK272:CK$295)*CL272*CK$63/CK$64+SUM(CK273:CK$295)*(CK$64-CK$63)/CK$64*CL272)</f>
        <v>3351582.6300000004</v>
      </c>
      <c r="CN272" s="87"/>
      <c r="CO272" s="162">
        <f t="shared" si="739"/>
        <v>0</v>
      </c>
      <c r="CP272" s="87">
        <f t="shared" si="740"/>
        <v>6706434.9600000009</v>
      </c>
      <c r="CQ272" s="87"/>
      <c r="CR272" s="87">
        <f t="shared" si="741"/>
        <v>0</v>
      </c>
      <c r="CS272" s="77">
        <f t="shared" si="742"/>
        <v>4.6710000000000002E-2</v>
      </c>
      <c r="CT272" s="87">
        <f>IF(OR($A272&gt;'Debt Service'!CR$58,$A272&lt;CR$51), 0, SUM(CR272:CR$295)*CS272*CR$63/CR$64+SUM(CR273:CR$295)*(CR$64-CR$63)/CR$64*CS272)</f>
        <v>0</v>
      </c>
      <c r="CU272" s="87"/>
      <c r="CV272" s="87">
        <f t="shared" si="743"/>
        <v>0</v>
      </c>
      <c r="CW272" s="77">
        <f t="shared" si="744"/>
        <v>4.6710000000000002E-2</v>
      </c>
      <c r="CX272" s="87">
        <f>IF(OR($A272&gt;'Debt Service'!CV$58,$A272&lt;CV$51), 0, SUM(CV272:CV$295)*CW272*CV$63/CV$64+SUM(CV273:CV$295)*(CV$64-CV$63)/CV$64*CW272)</f>
        <v>3345416.91</v>
      </c>
      <c r="CY272" s="87"/>
      <c r="CZ272" s="165">
        <f t="shared" si="745"/>
        <v>0</v>
      </c>
      <c r="DA272" s="165">
        <f t="shared" si="746"/>
        <v>3345416.91</v>
      </c>
      <c r="DB272" s="87"/>
      <c r="DC272" s="87">
        <f t="shared" si="747"/>
        <v>0</v>
      </c>
      <c r="DD272" s="77">
        <f t="shared" si="748"/>
        <v>4.6710000000000002E-2</v>
      </c>
      <c r="DE272" s="87">
        <f>IF($A272&gt;'Debt Service'!DC$58, 0, SUM(DC272:DC$295)*DD272*DC$63/DC$64+SUM(DC273:DC$295)*(DC$64-DC$63)/DC$64*DD272)</f>
        <v>0</v>
      </c>
      <c r="DF272" s="87"/>
      <c r="DG272" s="87">
        <f t="shared" si="749"/>
        <v>0</v>
      </c>
      <c r="DH272" s="77">
        <f t="shared" si="750"/>
        <v>4.6710000000000002E-2</v>
      </c>
      <c r="DI272" s="87">
        <f>IF($A272&gt;'Debt Service'!DG$58, 0, SUM(DG272:DG$295)*DH272*DG$63/DG$64+SUM(DG273:DG$295)*(DG$64-DG$63)/DG$64*DH272)</f>
        <v>0</v>
      </c>
      <c r="DJ272" s="87"/>
      <c r="DK272" s="87">
        <f t="shared" si="751"/>
        <v>0</v>
      </c>
      <c r="DL272" s="77">
        <f t="shared" si="752"/>
        <v>4.6710000000000002E-2</v>
      </c>
      <c r="DM272" s="87">
        <f>IF($A272&gt;'Debt Service'!DK$58, 0, SUM(DK272:DK$295)*DL272*DK$63/DK$64+SUM(DK273:DK$295)*(DK$64-DK$63)/DK$64*DL272)</f>
        <v>0</v>
      </c>
      <c r="DN272" s="87"/>
      <c r="DO272" s="87">
        <f t="shared" si="753"/>
        <v>0</v>
      </c>
      <c r="DP272" s="77">
        <f t="shared" si="754"/>
        <v>4.6710000000000002E-2</v>
      </c>
      <c r="DQ272" s="87">
        <f>IF($A272&gt;'Debt Service'!DO$58, 0, SUM(DO272:DO$295)*DP272*DO$63/DO$64+SUM(DO273:DO$295)*(DO$64-DO$63)/DO$64*DP272)</f>
        <v>0</v>
      </c>
      <c r="DR272" s="87"/>
      <c r="DS272" s="87">
        <f t="shared" si="755"/>
        <v>0</v>
      </c>
      <c r="DT272" s="77">
        <f t="shared" si="756"/>
        <v>4.6710000000000002E-2</v>
      </c>
      <c r="DU272" s="87">
        <f>IF($A272&gt;'Debt Service'!DS$58, 0, SUM(DS272:DS$295)*DT272*DS$63/DS$64+SUM(DS273:DS$295)*(DS$64-DS$63)/DS$64*DT272)</f>
        <v>0</v>
      </c>
      <c r="DV272" s="87"/>
      <c r="DW272" s="165">
        <f t="shared" si="765"/>
        <v>56372000</v>
      </c>
      <c r="DX272" s="165">
        <f t="shared" si="766"/>
        <v>21539522.430000003</v>
      </c>
      <c r="DY272" s="87"/>
      <c r="DZ272" s="53">
        <f t="shared" si="757"/>
        <v>2037</v>
      </c>
      <c r="EA272" s="35">
        <f t="shared" si="758"/>
        <v>56372000</v>
      </c>
      <c r="EB272" s="35">
        <f t="shared" si="759"/>
        <v>21539522.430000003</v>
      </c>
      <c r="EC272" s="77">
        <f>IF($A272&gt;2042, VLOOKUP($A272, Assumptions!$A$8:$D$44, Assumptions!$D$1, FALSE) +'Debt Service'!DS$307, MAX(EB272/SUM(EA272:EA$295), EC273))</f>
        <v>4.6710000000000002E-2</v>
      </c>
      <c r="ED272" s="172">
        <f t="shared" si="767"/>
        <v>14</v>
      </c>
      <c r="EE272" s="61"/>
    </row>
    <row r="273" spans="1:135" s="33" customFormat="1" outlineLevel="1">
      <c r="A273" s="7">
        <f t="shared" si="760"/>
        <v>2038</v>
      </c>
      <c r="B273" s="151">
        <f>Assumptions!B22</f>
        <v>5.3800000000000001E-2</v>
      </c>
      <c r="C273" s="151">
        <f>Assumptions!C22</f>
        <v>5.3800000000000001E-2</v>
      </c>
      <c r="D273" s="151">
        <f>Assumptions!D22</f>
        <v>3.5000000000000003E-2</v>
      </c>
      <c r="E273" s="151">
        <f>Assumptions!E22</f>
        <v>5.2999999999999999E-2</v>
      </c>
      <c r="F273" s="8"/>
      <c r="G273" s="8"/>
      <c r="H273" s="8"/>
      <c r="I273" s="8"/>
      <c r="J273" s="8"/>
      <c r="K273" s="8"/>
      <c r="L273" s="8"/>
      <c r="M273" s="87">
        <f t="shared" si="701"/>
        <v>0</v>
      </c>
      <c r="N273" s="77" t="str">
        <f t="shared" si="702"/>
        <v xml:space="preserve">   </v>
      </c>
      <c r="O273" s="87">
        <f>IF($A273&gt;'Debt Service'!M$58, 0, SUM(M273:M$295)*N273*M$63/M$64+SUM(M274:M$295)*(M$64-M$63)/M$64*N273)</f>
        <v>0</v>
      </c>
      <c r="P273" s="35"/>
      <c r="Q273" s="87">
        <f t="shared" si="703"/>
        <v>0</v>
      </c>
      <c r="R273" s="77" t="str">
        <f t="shared" si="704"/>
        <v xml:space="preserve">   </v>
      </c>
      <c r="S273" s="87">
        <f>IF($A273&gt;'Debt Service'!Q$58, 0, SUM(Q273:Q$295)*R273*Q$63/Q$64+SUM(Q274:Q$295)*(Q$64-Q$63)/Q$64*R273)</f>
        <v>0</v>
      </c>
      <c r="T273" s="35"/>
      <c r="U273" s="87">
        <f t="shared" si="705"/>
        <v>0</v>
      </c>
      <c r="V273" s="35">
        <f t="shared" si="706"/>
        <v>0</v>
      </c>
      <c r="W273" s="35"/>
      <c r="X273" s="87">
        <f t="shared" si="707"/>
        <v>0</v>
      </c>
      <c r="Y273" s="77" t="str">
        <f t="shared" si="708"/>
        <v xml:space="preserve">   </v>
      </c>
      <c r="Z273" s="87">
        <f>IF($A273&gt;'Debt Service'!X$58, 0, SUM(X273:X$295)*Y273*X$63/X$64+SUM(X274:X$295)*(X$64-X$63)/X$64*Y273)</f>
        <v>0</v>
      </c>
      <c r="AA273" s="87"/>
      <c r="AB273" s="87">
        <f t="shared" si="709"/>
        <v>0</v>
      </c>
      <c r="AC273" s="77">
        <f t="shared" si="710"/>
        <v>4.3000000000000003E-2</v>
      </c>
      <c r="AD273" s="87">
        <f>(SUM(AB273:AB$295)*AC273*AB$63/AB$64+SUM(AB274:AB$295)*(AB$64-AB$63)/AB$64*AC273)</f>
        <v>0</v>
      </c>
      <c r="AE273" s="35"/>
      <c r="AF273" s="87">
        <f t="shared" si="711"/>
        <v>0</v>
      </c>
      <c r="AG273" s="77">
        <f t="shared" si="712"/>
        <v>4.6710000000000002E-2</v>
      </c>
      <c r="AH273" s="87">
        <f>(SUM(AF273:AF$295)*AG273*AF$63/AF$64+SUM(AF274:AF$295)*(AF$64-AF$63)/AF$64*AG273)</f>
        <v>0</v>
      </c>
      <c r="AI273" s="35"/>
      <c r="AJ273" s="87">
        <f t="shared" si="713"/>
        <v>0</v>
      </c>
      <c r="AK273" s="77">
        <f t="shared" si="714"/>
        <v>4.6710000000000002E-2</v>
      </c>
      <c r="AL273" s="87">
        <f>IF($A273&gt;'Debt Service'!AJ$58, 0, SUM(AJ273:AJ$295)*AK273*AJ$63/AJ$64+SUM(AJ274:AJ$295)*(AJ$64-AJ$63)/AJ$64*AK273)</f>
        <v>2188830.6</v>
      </c>
      <c r="AM273" s="35"/>
      <c r="AN273" s="87">
        <f t="shared" si="715"/>
        <v>0</v>
      </c>
      <c r="AO273" s="77" t="str">
        <f t="shared" si="716"/>
        <v xml:space="preserve">   </v>
      </c>
      <c r="AP273" s="87">
        <f>IF($A273&gt;'Debt Service'!AN$58, 0, SUM(AN273:AN$295)*AO273*AN$63/AN$64+SUM(AN274:AN$295)*(AN$64-AN$63)/AN$64*AO273)</f>
        <v>0</v>
      </c>
      <c r="AQ273" s="35"/>
      <c r="AR273" s="87">
        <f t="shared" si="717"/>
        <v>0</v>
      </c>
      <c r="AS273" s="77" t="str">
        <f t="shared" si="718"/>
        <v xml:space="preserve">   </v>
      </c>
      <c r="AT273" s="87">
        <f>IF($A273&gt;'Debt Service'!AR$58, 0, SUM(AR273:AR$295)*AS273*AR$63/AR$64+SUM(AR274:AR$295)*(AR$64-AR$63)/AR$64*AS273)</f>
        <v>0</v>
      </c>
      <c r="AV273" s="35">
        <f t="shared" si="719"/>
        <v>0</v>
      </c>
      <c r="AW273" s="35">
        <f t="shared" si="720"/>
        <v>2188830.6</v>
      </c>
      <c r="AX273" s="35"/>
      <c r="AY273" s="87">
        <f t="shared" si="721"/>
        <v>0</v>
      </c>
      <c r="AZ273" s="77">
        <f t="shared" si="722"/>
        <v>4.6710000000000002E-2</v>
      </c>
      <c r="BA273" s="87">
        <f>(SUM(AY273:AY$295)*AZ273*AY$63/AY$64+SUM(AY274:AY$295)*(AY$64-AY$63)/AY$64*AZ273)</f>
        <v>0</v>
      </c>
      <c r="BB273" s="61"/>
      <c r="BC273" s="87">
        <f t="shared" si="723"/>
        <v>0</v>
      </c>
      <c r="BD273" s="77">
        <f t="shared" si="724"/>
        <v>4.6710000000000002E-2</v>
      </c>
      <c r="BE273" s="87">
        <f>IF($A273&gt;'Debt Service'!BC$58, 0, SUM(BC273:BC$295)*BD273*BC$63/BC$64+SUM(BC274:BC$295)*(BC$64-BC$63)/BC$64*BD273)</f>
        <v>1326610.71</v>
      </c>
      <c r="BF273" s="61"/>
      <c r="BG273" s="87">
        <f t="shared" si="725"/>
        <v>0</v>
      </c>
      <c r="BH273" s="77">
        <f t="shared" si="726"/>
        <v>4.6710000000000002E-2</v>
      </c>
      <c r="BI273" s="87">
        <f>IF($A273&gt;'Debt Service'!BG$58, 0, SUM(BG273:BG$295)*BH273*BG$63/BG$64+SUM(BG274:BG$295)*(BG$64-BG$63)/BG$64*BH273)</f>
        <v>3312533.0700000003</v>
      </c>
      <c r="BJ273" s="61"/>
      <c r="BK273" s="35">
        <f t="shared" si="761"/>
        <v>0</v>
      </c>
      <c r="BL273" s="35">
        <f t="shared" si="762"/>
        <v>4639143.78</v>
      </c>
      <c r="BM273" s="8"/>
      <c r="BN273" s="87">
        <f t="shared" si="727"/>
        <v>0</v>
      </c>
      <c r="BO273" s="77">
        <f t="shared" si="728"/>
        <v>4.6710000000000002E-2</v>
      </c>
      <c r="BP273" s="87">
        <f>(SUM(BN273:BN$295)*BO273*BN$63/BN$64+SUM(BN274:BN$295)*(BN$64-BN$63)/BN$64*BO273)</f>
        <v>0</v>
      </c>
      <c r="BQ273" s="77"/>
      <c r="BR273" s="87">
        <f t="shared" si="729"/>
        <v>0</v>
      </c>
      <c r="BS273" s="77">
        <f t="shared" si="730"/>
        <v>4.6710000000000002E-2</v>
      </c>
      <c r="BT273" s="87">
        <f>IF($A273&gt;'Debt Service'!BR$58, 0, SUM(BR273:BR$295)*BS273*BR$63/BR$64+SUM(BR274:BR$295)*(BR$64-BR$63)/BR$64*BS273)</f>
        <v>3343128.12</v>
      </c>
      <c r="BU273" s="87"/>
      <c r="BV273" s="35">
        <f t="shared" si="763"/>
        <v>0</v>
      </c>
      <c r="BW273" s="35">
        <f t="shared" si="764"/>
        <v>3343128.12</v>
      </c>
      <c r="BX273" s="87"/>
      <c r="BY273" s="87"/>
      <c r="BZ273" s="77">
        <f t="shared" si="732"/>
        <v>4.6710000000000002E-2</v>
      </c>
      <c r="CA273" s="87">
        <f>(SUM(BY273:BY$295)*BZ273*BY$63/BY$64+SUM(BY274:BY$295)*(BY$64-BY$63)/BY$64*BZ273)</f>
        <v>0</v>
      </c>
      <c r="CB273" s="87"/>
      <c r="CC273" s="87">
        <f t="shared" si="733"/>
        <v>0</v>
      </c>
      <c r="CD273" s="77">
        <f t="shared" si="734"/>
        <v>4.6710000000000002E-2</v>
      </c>
      <c r="CE273" s="87">
        <f>IF(OR($A273&gt;'Debt Service'!CC$58,$A273&lt;CC$51), 0, SUM(CC273:CC$295)*CD273*CC$63/CC$64+SUM(CC274:CC$295)*(CC$64-CC$63)/CC$64*CD273)</f>
        <v>0</v>
      </c>
      <c r="CF273" s="87"/>
      <c r="CG273" s="87">
        <f t="shared" si="735"/>
        <v>0</v>
      </c>
      <c r="CH273" s="77">
        <f t="shared" si="736"/>
        <v>4.6710000000000002E-2</v>
      </c>
      <c r="CI273" s="87">
        <f>IF(OR($A273&gt;'Debt Service'!CG$58,$A273&lt;CG$51), 0, SUM(CG273:CG$295)*CH273*CG$63/CG$64+SUM(CG274:CG$295)*(CG$64-CG$63)/CG$64*CH273)</f>
        <v>3354852.33</v>
      </c>
      <c r="CJ273" s="87"/>
      <c r="CK273" s="87">
        <f t="shared" si="737"/>
        <v>0</v>
      </c>
      <c r="CL273" s="77">
        <f t="shared" si="738"/>
        <v>4.6710000000000002E-2</v>
      </c>
      <c r="CM273" s="87">
        <f>IF(OR($A273&gt;'Debt Service'!CK$58,$A273&lt;CK$51), 0, SUM(CK273:CK$295)*CL273*CK$63/CK$64+SUM(CK274:CK$295)*(CK$64-CK$63)/CK$64*CL273)</f>
        <v>3351582.6300000004</v>
      </c>
      <c r="CN273" s="87"/>
      <c r="CO273" s="162">
        <f t="shared" si="739"/>
        <v>0</v>
      </c>
      <c r="CP273" s="87">
        <f t="shared" si="740"/>
        <v>6706434.9600000009</v>
      </c>
      <c r="CQ273" s="87"/>
      <c r="CR273" s="87">
        <f t="shared" si="741"/>
        <v>0</v>
      </c>
      <c r="CS273" s="77">
        <f t="shared" si="742"/>
        <v>4.6710000000000002E-2</v>
      </c>
      <c r="CT273" s="87">
        <f>IF(OR($A273&gt;'Debt Service'!CR$58,$A273&lt;CR$51), 0, SUM(CR273:CR$295)*CS273*CR$63/CR$64+SUM(CR274:CR$295)*(CR$64-CR$63)/CR$64*CS273)</f>
        <v>0</v>
      </c>
      <c r="CU273" s="87"/>
      <c r="CV273" s="87">
        <f t="shared" si="743"/>
        <v>0</v>
      </c>
      <c r="CW273" s="77">
        <f t="shared" si="744"/>
        <v>4.6710000000000002E-2</v>
      </c>
      <c r="CX273" s="87">
        <f>IF(OR($A273&gt;'Debt Service'!CV$58,$A273&lt;CV$51), 0, SUM(CV273:CV$295)*CW273*CV$63/CV$64+SUM(CV274:CV$295)*(CV$64-CV$63)/CV$64*CW273)</f>
        <v>3345416.91</v>
      </c>
      <c r="CY273" s="87"/>
      <c r="CZ273" s="165">
        <f t="shared" si="745"/>
        <v>0</v>
      </c>
      <c r="DA273" s="165">
        <f t="shared" si="746"/>
        <v>3345416.91</v>
      </c>
      <c r="DB273" s="87"/>
      <c r="DC273" s="87">
        <f t="shared" si="747"/>
        <v>0</v>
      </c>
      <c r="DD273" s="77">
        <f t="shared" si="748"/>
        <v>4.6710000000000002E-2</v>
      </c>
      <c r="DE273" s="87">
        <f>IF($A273&gt;'Debt Service'!DC$58, 0, SUM(DC273:DC$295)*DD273*DC$63/DC$64+SUM(DC274:DC$295)*(DC$64-DC$63)/DC$64*DD273)</f>
        <v>0</v>
      </c>
      <c r="DF273" s="87"/>
      <c r="DG273" s="87">
        <f t="shared" si="749"/>
        <v>0</v>
      </c>
      <c r="DH273" s="77">
        <f t="shared" si="750"/>
        <v>4.6710000000000002E-2</v>
      </c>
      <c r="DI273" s="87">
        <f>IF($A273&gt;'Debt Service'!DG$58, 0, SUM(DG273:DG$295)*DH273*DG$63/DG$64+SUM(DG274:DG$295)*(DG$64-DG$63)/DG$64*DH273)</f>
        <v>0</v>
      </c>
      <c r="DJ273" s="87"/>
      <c r="DK273" s="87">
        <f t="shared" si="751"/>
        <v>0</v>
      </c>
      <c r="DL273" s="77">
        <f t="shared" si="752"/>
        <v>4.6710000000000002E-2</v>
      </c>
      <c r="DM273" s="87">
        <f>IF($A273&gt;'Debt Service'!DK$58, 0, SUM(DK273:DK$295)*DL273*DK$63/DK$64+SUM(DK274:DK$295)*(DK$64-DK$63)/DK$64*DL273)</f>
        <v>0</v>
      </c>
      <c r="DN273" s="87"/>
      <c r="DO273" s="87">
        <f t="shared" si="753"/>
        <v>0</v>
      </c>
      <c r="DP273" s="77">
        <f t="shared" si="754"/>
        <v>4.6710000000000002E-2</v>
      </c>
      <c r="DQ273" s="87">
        <f>IF($A273&gt;'Debt Service'!DO$58, 0, SUM(DO273:DO$295)*DP273*DO$63/DO$64+SUM(DO274:DO$295)*(DO$64-DO$63)/DO$64*DP273)</f>
        <v>0</v>
      </c>
      <c r="DR273" s="87"/>
      <c r="DS273" s="87">
        <f t="shared" si="755"/>
        <v>0</v>
      </c>
      <c r="DT273" s="77">
        <f t="shared" si="756"/>
        <v>4.6710000000000002E-2</v>
      </c>
      <c r="DU273" s="87">
        <f>IF($A273&gt;'Debt Service'!DS$58, 0, SUM(DS273:DS$295)*DT273*DS$63/DS$64+SUM(DS274:DS$295)*(DS$64-DS$63)/DS$64*DT273)</f>
        <v>0</v>
      </c>
      <c r="DV273" s="87"/>
      <c r="DW273" s="165">
        <f t="shared" si="765"/>
        <v>0</v>
      </c>
      <c r="DX273" s="165">
        <f t="shared" si="766"/>
        <v>20222954.370000001</v>
      </c>
      <c r="DY273" s="87"/>
      <c r="DZ273" s="53">
        <f t="shared" si="757"/>
        <v>2038</v>
      </c>
      <c r="EA273" s="35">
        <f t="shared" si="758"/>
        <v>0</v>
      </c>
      <c r="EB273" s="35">
        <f t="shared" si="759"/>
        <v>20222954.370000001</v>
      </c>
      <c r="EC273" s="77">
        <f>IF($A273&gt;2042, VLOOKUP($A273, Assumptions!$A$8:$D$44, Assumptions!$D$1, FALSE) +'Debt Service'!DS$307, MAX(EB273/SUM(EA273:EA$295), EC274))</f>
        <v>4.6710000000000002E-2</v>
      </c>
      <c r="ED273" s="172">
        <f t="shared" si="767"/>
        <v>15</v>
      </c>
      <c r="EE273" s="61"/>
    </row>
    <row r="274" spans="1:135" s="33" customFormat="1" outlineLevel="1">
      <c r="A274" s="7">
        <f t="shared" si="760"/>
        <v>2039</v>
      </c>
      <c r="B274" s="151">
        <f>Assumptions!B23</f>
        <v>5.3800000000000001E-2</v>
      </c>
      <c r="C274" s="151">
        <f>Assumptions!C23</f>
        <v>5.3800000000000001E-2</v>
      </c>
      <c r="D274" s="151">
        <f>Assumptions!D23</f>
        <v>3.5000000000000003E-2</v>
      </c>
      <c r="E274" s="151">
        <f>Assumptions!E23</f>
        <v>5.2999999999999999E-2</v>
      </c>
      <c r="F274" s="8"/>
      <c r="G274" s="8"/>
      <c r="H274" s="8"/>
      <c r="I274" s="8"/>
      <c r="J274" s="8"/>
      <c r="K274" s="8"/>
      <c r="L274" s="8"/>
      <c r="M274" s="87">
        <f t="shared" si="701"/>
        <v>0</v>
      </c>
      <c r="N274" s="77" t="str">
        <f t="shared" si="702"/>
        <v xml:space="preserve">   </v>
      </c>
      <c r="O274" s="87">
        <f>IF($A274&gt;'Debt Service'!M$58, 0, SUM(M274:M$295)*N274*M$63/M$64+SUM(M275:M$295)*(M$64-M$63)/M$64*N274)</f>
        <v>0</v>
      </c>
      <c r="P274" s="35"/>
      <c r="Q274" s="87">
        <f t="shared" si="703"/>
        <v>0</v>
      </c>
      <c r="R274" s="77" t="str">
        <f t="shared" si="704"/>
        <v xml:space="preserve">   </v>
      </c>
      <c r="S274" s="87">
        <f>IF($A274&gt;'Debt Service'!Q$58, 0, SUM(Q274:Q$295)*R274*Q$63/Q$64+SUM(Q275:Q$295)*(Q$64-Q$63)/Q$64*R274)</f>
        <v>0</v>
      </c>
      <c r="T274" s="35"/>
      <c r="U274" s="87">
        <f t="shared" si="705"/>
        <v>0</v>
      </c>
      <c r="V274" s="35">
        <f t="shared" si="706"/>
        <v>0</v>
      </c>
      <c r="W274" s="38"/>
      <c r="X274" s="87">
        <f t="shared" si="707"/>
        <v>0</v>
      </c>
      <c r="Y274" s="77" t="str">
        <f t="shared" si="708"/>
        <v xml:space="preserve">   </v>
      </c>
      <c r="Z274" s="87">
        <f>IF($A274&gt;'Debt Service'!X$58, 0, SUM(X274:X$295)*Y274*X$63/X$64+SUM(X275:X$295)*(X$64-X$63)/X$64*Y274)</f>
        <v>0</v>
      </c>
      <c r="AA274" s="87"/>
      <c r="AB274" s="87">
        <f t="shared" si="709"/>
        <v>0</v>
      </c>
      <c r="AC274" s="77">
        <f t="shared" si="710"/>
        <v>4.3000000000000003E-2</v>
      </c>
      <c r="AD274" s="87">
        <f>(SUM(AB274:AB$295)*AC274*AB$63/AB$64+SUM(AB275:AB$295)*(AB$64-AB$63)/AB$64*AC274)</f>
        <v>0</v>
      </c>
      <c r="AE274" s="35"/>
      <c r="AF274" s="87">
        <f t="shared" si="711"/>
        <v>0</v>
      </c>
      <c r="AG274" s="77">
        <f t="shared" si="712"/>
        <v>4.6710000000000002E-2</v>
      </c>
      <c r="AH274" s="87">
        <f>(SUM(AF274:AF$295)*AG274*AF$63/AF$64+SUM(AF275:AF$295)*(AF$64-AF$63)/AF$64*AG274)</f>
        <v>0</v>
      </c>
      <c r="AI274" s="35"/>
      <c r="AJ274" s="87">
        <f t="shared" si="713"/>
        <v>0</v>
      </c>
      <c r="AK274" s="77">
        <f t="shared" si="714"/>
        <v>4.6710000000000002E-2</v>
      </c>
      <c r="AL274" s="87">
        <f>IF($A274&gt;'Debt Service'!AJ$58, 0, SUM(AJ274:AJ$295)*AK274*AJ$63/AJ$64+SUM(AJ275:AJ$295)*(AJ$64-AJ$63)/AJ$64*AK274)</f>
        <v>2188830.6</v>
      </c>
      <c r="AM274" s="35"/>
      <c r="AN274" s="87">
        <f t="shared" si="715"/>
        <v>0</v>
      </c>
      <c r="AO274" s="77" t="str">
        <f t="shared" si="716"/>
        <v xml:space="preserve">   </v>
      </c>
      <c r="AP274" s="87">
        <f>IF($A274&gt;'Debt Service'!AN$58, 0, SUM(AN274:AN$295)*AO274*AN$63/AN$64+SUM(AN275:AN$295)*(AN$64-AN$63)/AN$64*AO274)</f>
        <v>0</v>
      </c>
      <c r="AQ274" s="35"/>
      <c r="AR274" s="87">
        <f t="shared" si="717"/>
        <v>0</v>
      </c>
      <c r="AS274" s="77" t="str">
        <f t="shared" si="718"/>
        <v xml:space="preserve">   </v>
      </c>
      <c r="AT274" s="87">
        <f>IF($A274&gt;'Debt Service'!AR$58, 0, SUM(AR274:AR$295)*AS274*AR$63/AR$64+SUM(AR275:AR$295)*(AR$64-AR$63)/AR$64*AS274)</f>
        <v>0</v>
      </c>
      <c r="AV274" s="35">
        <f t="shared" si="719"/>
        <v>0</v>
      </c>
      <c r="AW274" s="35">
        <f t="shared" si="720"/>
        <v>2188830.6</v>
      </c>
      <c r="AX274" s="35"/>
      <c r="AY274" s="87">
        <f t="shared" si="721"/>
        <v>0</v>
      </c>
      <c r="AZ274" s="77">
        <f t="shared" si="722"/>
        <v>4.6710000000000002E-2</v>
      </c>
      <c r="BA274" s="87">
        <f>(SUM(AY274:AY$295)*AZ274*AY$63/AY$64+SUM(AY275:AY$295)*(AY$64-AY$63)/AY$64*AZ274)</f>
        <v>0</v>
      </c>
      <c r="BB274" s="61"/>
      <c r="BC274" s="87">
        <f t="shared" si="723"/>
        <v>0</v>
      </c>
      <c r="BD274" s="77">
        <f t="shared" si="724"/>
        <v>4.6710000000000002E-2</v>
      </c>
      <c r="BE274" s="87">
        <f>IF($A274&gt;'Debt Service'!BC$58, 0, SUM(BC274:BC$295)*BD274*BC$63/BC$64+SUM(BC275:BC$295)*(BC$64-BC$63)/BC$64*BD274)</f>
        <v>1326610.71</v>
      </c>
      <c r="BF274" s="61"/>
      <c r="BG274" s="87">
        <f t="shared" si="725"/>
        <v>0</v>
      </c>
      <c r="BH274" s="77">
        <f t="shared" si="726"/>
        <v>4.6710000000000002E-2</v>
      </c>
      <c r="BI274" s="87">
        <f>IF($A274&gt;'Debt Service'!BG$58, 0, SUM(BG274:BG$295)*BH274*BG$63/BG$64+SUM(BG275:BG$295)*(BG$64-BG$63)/BG$64*BH274)</f>
        <v>3312533.0700000003</v>
      </c>
      <c r="BJ274" s="61"/>
      <c r="BK274" s="35">
        <f t="shared" si="761"/>
        <v>0</v>
      </c>
      <c r="BL274" s="35">
        <f t="shared" si="762"/>
        <v>4639143.78</v>
      </c>
      <c r="BM274" s="8"/>
      <c r="BN274" s="87">
        <f t="shared" si="727"/>
        <v>0</v>
      </c>
      <c r="BO274" s="77">
        <f t="shared" si="728"/>
        <v>4.6710000000000002E-2</v>
      </c>
      <c r="BP274" s="87">
        <f>(SUM(BN274:BN$295)*BO274*BN$63/BN$64+SUM(BN275:BN$295)*(BN$64-BN$63)/BN$64*BO274)</f>
        <v>0</v>
      </c>
      <c r="BQ274" s="77"/>
      <c r="BR274" s="87">
        <f t="shared" si="729"/>
        <v>0</v>
      </c>
      <c r="BS274" s="77">
        <f t="shared" si="730"/>
        <v>4.6710000000000002E-2</v>
      </c>
      <c r="BT274" s="87">
        <f>IF($A274&gt;'Debt Service'!BR$58, 0, SUM(BR274:BR$295)*BS274*BR$63/BR$64+SUM(BR275:BR$295)*(BR$64-BR$63)/BR$64*BS274)</f>
        <v>3343128.12</v>
      </c>
      <c r="BU274" s="87"/>
      <c r="BV274" s="35">
        <f t="shared" si="763"/>
        <v>0</v>
      </c>
      <c r="BW274" s="35">
        <f t="shared" si="764"/>
        <v>3343128.12</v>
      </c>
      <c r="BX274" s="87"/>
      <c r="BY274" s="87"/>
      <c r="BZ274" s="77">
        <f t="shared" si="732"/>
        <v>4.6710000000000002E-2</v>
      </c>
      <c r="CA274" s="87">
        <f>(SUM(BY274:BY$295)*BZ274*BY$63/BY$64+SUM(BY275:BY$295)*(BY$64-BY$63)/BY$64*BZ274)</f>
        <v>0</v>
      </c>
      <c r="CB274" s="87"/>
      <c r="CC274" s="87">
        <f t="shared" si="733"/>
        <v>0</v>
      </c>
      <c r="CD274" s="77">
        <f t="shared" si="734"/>
        <v>4.6710000000000002E-2</v>
      </c>
      <c r="CE274" s="87">
        <f>IF(OR($A274&gt;'Debt Service'!CC$58,$A274&lt;CC$51), 0, SUM(CC274:CC$295)*CD274*CC$63/CC$64+SUM(CC275:CC$295)*(CC$64-CC$63)/CC$64*CD274)</f>
        <v>0</v>
      </c>
      <c r="CF274" s="87"/>
      <c r="CG274" s="87">
        <f t="shared" si="735"/>
        <v>0</v>
      </c>
      <c r="CH274" s="77">
        <f t="shared" si="736"/>
        <v>4.6710000000000002E-2</v>
      </c>
      <c r="CI274" s="87">
        <f>IF(OR($A274&gt;'Debt Service'!CG$58,$A274&lt;CG$51), 0, SUM(CG274:CG$295)*CH274*CG$63/CG$64+SUM(CG275:CG$295)*(CG$64-CG$63)/CG$64*CH274)</f>
        <v>3354852.33</v>
      </c>
      <c r="CJ274" s="87"/>
      <c r="CK274" s="87">
        <f t="shared" si="737"/>
        <v>0</v>
      </c>
      <c r="CL274" s="77">
        <f t="shared" si="738"/>
        <v>4.6710000000000002E-2</v>
      </c>
      <c r="CM274" s="87">
        <f>IF(OR($A274&gt;'Debt Service'!CK$58,$A274&lt;CK$51), 0, SUM(CK274:CK$295)*CL274*CK$63/CK$64+SUM(CK275:CK$295)*(CK$64-CK$63)/CK$64*CL274)</f>
        <v>3351582.6300000004</v>
      </c>
      <c r="CN274" s="87"/>
      <c r="CO274" s="162">
        <f t="shared" si="739"/>
        <v>0</v>
      </c>
      <c r="CP274" s="87">
        <f t="shared" si="740"/>
        <v>6706434.9600000009</v>
      </c>
      <c r="CQ274" s="87"/>
      <c r="CR274" s="87">
        <f t="shared" si="741"/>
        <v>0</v>
      </c>
      <c r="CS274" s="77">
        <f t="shared" si="742"/>
        <v>4.6710000000000002E-2</v>
      </c>
      <c r="CT274" s="87">
        <f>IF(OR($A274&gt;'Debt Service'!CR$58,$A274&lt;CR$51), 0, SUM(CR274:CR$295)*CS274*CR$63/CR$64+SUM(CR275:CR$295)*(CR$64-CR$63)/CR$64*CS274)</f>
        <v>0</v>
      </c>
      <c r="CU274" s="87"/>
      <c r="CV274" s="87">
        <f t="shared" si="743"/>
        <v>0</v>
      </c>
      <c r="CW274" s="77">
        <f t="shared" si="744"/>
        <v>4.6710000000000002E-2</v>
      </c>
      <c r="CX274" s="87">
        <f>IF(OR($A274&gt;'Debt Service'!CV$58,$A274&lt;CV$51), 0, SUM(CV274:CV$295)*CW274*CV$63/CV$64+SUM(CV275:CV$295)*(CV$64-CV$63)/CV$64*CW274)</f>
        <v>3345416.91</v>
      </c>
      <c r="CY274" s="87"/>
      <c r="CZ274" s="165">
        <f t="shared" si="745"/>
        <v>0</v>
      </c>
      <c r="DA274" s="165">
        <f t="shared" si="746"/>
        <v>3345416.91</v>
      </c>
      <c r="DB274" s="87"/>
      <c r="DC274" s="87">
        <f t="shared" si="747"/>
        <v>0</v>
      </c>
      <c r="DD274" s="77">
        <f t="shared" si="748"/>
        <v>4.6710000000000002E-2</v>
      </c>
      <c r="DE274" s="87">
        <f>IF($A274&gt;'Debt Service'!DC$58, 0, SUM(DC274:DC$295)*DD274*DC$63/DC$64+SUM(DC275:DC$295)*(DC$64-DC$63)/DC$64*DD274)</f>
        <v>0</v>
      </c>
      <c r="DF274" s="87"/>
      <c r="DG274" s="87">
        <f t="shared" si="749"/>
        <v>0</v>
      </c>
      <c r="DH274" s="77">
        <f t="shared" si="750"/>
        <v>4.6710000000000002E-2</v>
      </c>
      <c r="DI274" s="87">
        <f>IF($A274&gt;'Debt Service'!DG$58, 0, SUM(DG274:DG$295)*DH274*DG$63/DG$64+SUM(DG275:DG$295)*(DG$64-DG$63)/DG$64*DH274)</f>
        <v>0</v>
      </c>
      <c r="DJ274" s="87"/>
      <c r="DK274" s="87">
        <f t="shared" si="751"/>
        <v>0</v>
      </c>
      <c r="DL274" s="77">
        <f t="shared" si="752"/>
        <v>4.6710000000000002E-2</v>
      </c>
      <c r="DM274" s="87">
        <f>IF($A274&gt;'Debt Service'!DK$58, 0, SUM(DK274:DK$295)*DL274*DK$63/DK$64+SUM(DK275:DK$295)*(DK$64-DK$63)/DK$64*DL274)</f>
        <v>0</v>
      </c>
      <c r="DN274" s="87"/>
      <c r="DO274" s="87">
        <f t="shared" si="753"/>
        <v>0</v>
      </c>
      <c r="DP274" s="77">
        <f t="shared" si="754"/>
        <v>4.6710000000000002E-2</v>
      </c>
      <c r="DQ274" s="87">
        <f>IF($A274&gt;'Debt Service'!DO$58, 0, SUM(DO274:DO$295)*DP274*DO$63/DO$64+SUM(DO275:DO$295)*(DO$64-DO$63)/DO$64*DP274)</f>
        <v>0</v>
      </c>
      <c r="DR274" s="87"/>
      <c r="DS274" s="87">
        <f t="shared" si="755"/>
        <v>0</v>
      </c>
      <c r="DT274" s="77">
        <f t="shared" si="756"/>
        <v>4.6710000000000002E-2</v>
      </c>
      <c r="DU274" s="87">
        <f>IF($A274&gt;'Debt Service'!DS$58, 0, SUM(DS274:DS$295)*DT274*DS$63/DS$64+SUM(DS275:DS$295)*(DS$64-DS$63)/DS$64*DT274)</f>
        <v>0</v>
      </c>
      <c r="DV274" s="87"/>
      <c r="DW274" s="165">
        <f t="shared" si="765"/>
        <v>0</v>
      </c>
      <c r="DX274" s="165">
        <f t="shared" si="766"/>
        <v>20222954.370000001</v>
      </c>
      <c r="DY274" s="87"/>
      <c r="DZ274" s="53">
        <f t="shared" si="757"/>
        <v>2039</v>
      </c>
      <c r="EA274" s="35">
        <f t="shared" si="758"/>
        <v>0</v>
      </c>
      <c r="EB274" s="35">
        <f t="shared" si="759"/>
        <v>20222954.370000001</v>
      </c>
      <c r="EC274" s="77">
        <f>IF($A274&gt;2042, VLOOKUP($A274, Assumptions!$A$8:$D$44, Assumptions!$D$1, FALSE) +'Debt Service'!DS$307, MAX(EB274/SUM(EA274:EA$295), EC275))</f>
        <v>4.6710000000000002E-2</v>
      </c>
      <c r="ED274" s="172">
        <f t="shared" si="767"/>
        <v>16</v>
      </c>
      <c r="EE274" s="61"/>
    </row>
    <row r="275" spans="1:135" s="33" customFormat="1" outlineLevel="1">
      <c r="A275" s="7">
        <f t="shared" si="760"/>
        <v>2040</v>
      </c>
      <c r="B275" s="151">
        <f>Assumptions!B24</f>
        <v>5.3800000000000001E-2</v>
      </c>
      <c r="C275" s="151">
        <f>Assumptions!C24</f>
        <v>5.3800000000000001E-2</v>
      </c>
      <c r="D275" s="151">
        <f>Assumptions!D24</f>
        <v>3.5000000000000003E-2</v>
      </c>
      <c r="E275" s="151">
        <f>Assumptions!E24</f>
        <v>5.2999999999999999E-2</v>
      </c>
      <c r="F275" s="8"/>
      <c r="G275" s="8"/>
      <c r="H275" s="8"/>
      <c r="I275" s="8"/>
      <c r="J275" s="8"/>
      <c r="K275" s="8"/>
      <c r="L275" s="8"/>
      <c r="M275" s="87">
        <f t="shared" si="701"/>
        <v>0</v>
      </c>
      <c r="N275" s="77" t="str">
        <f t="shared" si="702"/>
        <v xml:space="preserve">   </v>
      </c>
      <c r="O275" s="87">
        <f>IF($A275&gt;'Debt Service'!M$58, 0, SUM(M275:M$295)*N275*M$63/M$64+SUM(M276:M$295)*(M$64-M$63)/M$64*N275)</f>
        <v>0</v>
      </c>
      <c r="P275" s="35"/>
      <c r="Q275" s="87">
        <f t="shared" si="703"/>
        <v>0</v>
      </c>
      <c r="R275" s="77" t="str">
        <f t="shared" si="704"/>
        <v xml:space="preserve">   </v>
      </c>
      <c r="S275" s="87">
        <f>IF($A275&gt;'Debt Service'!Q$58, 0, SUM(Q275:Q$295)*R275*Q$63/Q$64+SUM(Q276:Q$295)*(Q$64-Q$63)/Q$64*R275)</f>
        <v>0</v>
      </c>
      <c r="T275" s="35"/>
      <c r="U275" s="87">
        <f t="shared" si="705"/>
        <v>0</v>
      </c>
      <c r="V275" s="35">
        <f t="shared" si="706"/>
        <v>0</v>
      </c>
      <c r="W275" s="35"/>
      <c r="X275" s="87">
        <f t="shared" si="707"/>
        <v>0</v>
      </c>
      <c r="Y275" s="77" t="str">
        <f t="shared" si="708"/>
        <v xml:space="preserve">   </v>
      </c>
      <c r="Z275" s="87">
        <f>IF($A275&gt;'Debt Service'!X$58, 0, SUM(X275:X$295)*Y275*X$63/X$64+SUM(X276:X$295)*(X$64-X$63)/X$64*Y275)</f>
        <v>0</v>
      </c>
      <c r="AA275" s="87"/>
      <c r="AB275" s="87">
        <f t="shared" si="709"/>
        <v>0</v>
      </c>
      <c r="AC275" s="77">
        <f t="shared" si="710"/>
        <v>4.3000000000000003E-2</v>
      </c>
      <c r="AD275" s="87">
        <f>(SUM(AB275:AB$295)*AC275*AB$63/AB$64+SUM(AB276:AB$295)*(AB$64-AB$63)/AB$64*AC275)</f>
        <v>0</v>
      </c>
      <c r="AE275" s="35"/>
      <c r="AF275" s="87">
        <f t="shared" si="711"/>
        <v>0</v>
      </c>
      <c r="AG275" s="77">
        <f t="shared" si="712"/>
        <v>4.6710000000000002E-2</v>
      </c>
      <c r="AH275" s="87">
        <f>(SUM(AF275:AF$295)*AG275*AF$63/AF$64+SUM(AF276:AF$295)*(AF$64-AF$63)/AF$64*AG275)</f>
        <v>0</v>
      </c>
      <c r="AI275" s="35"/>
      <c r="AJ275" s="87">
        <f t="shared" si="713"/>
        <v>0</v>
      </c>
      <c r="AK275" s="77">
        <f t="shared" si="714"/>
        <v>4.6710000000000002E-2</v>
      </c>
      <c r="AL275" s="87">
        <f>IF($A275&gt;'Debt Service'!AJ$58, 0, SUM(AJ275:AJ$295)*AK275*AJ$63/AJ$64+SUM(AJ276:AJ$295)*(AJ$64-AJ$63)/AJ$64*AK275)</f>
        <v>2188830.6</v>
      </c>
      <c r="AM275" s="35"/>
      <c r="AN275" s="87">
        <f t="shared" si="715"/>
        <v>0</v>
      </c>
      <c r="AO275" s="77" t="str">
        <f t="shared" si="716"/>
        <v xml:space="preserve">   </v>
      </c>
      <c r="AP275" s="87">
        <f>IF($A275&gt;'Debt Service'!AN$58, 0, SUM(AN275:AN$295)*AO275*AN$63/AN$64+SUM(AN276:AN$295)*(AN$64-AN$63)/AN$64*AO275)</f>
        <v>0</v>
      </c>
      <c r="AQ275" s="35"/>
      <c r="AR275" s="87">
        <f t="shared" si="717"/>
        <v>0</v>
      </c>
      <c r="AS275" s="77" t="str">
        <f t="shared" si="718"/>
        <v xml:space="preserve">   </v>
      </c>
      <c r="AT275" s="87">
        <f>IF($A275&gt;'Debt Service'!AR$58, 0, SUM(AR275:AR$295)*AS275*AR$63/AR$64+SUM(AR276:AR$295)*(AR$64-AR$63)/AR$64*AS275)</f>
        <v>0</v>
      </c>
      <c r="AV275" s="35">
        <f t="shared" si="719"/>
        <v>0</v>
      </c>
      <c r="AW275" s="35">
        <f t="shared" si="720"/>
        <v>2188830.6</v>
      </c>
      <c r="AX275" s="35"/>
      <c r="AY275" s="87">
        <f t="shared" si="721"/>
        <v>0</v>
      </c>
      <c r="AZ275" s="77">
        <f t="shared" si="722"/>
        <v>4.6710000000000002E-2</v>
      </c>
      <c r="BA275" s="87">
        <f>(SUM(AY275:AY$295)*AZ275*AY$63/AY$64+SUM(AY276:AY$295)*(AY$64-AY$63)/AY$64*AZ275)</f>
        <v>0</v>
      </c>
      <c r="BB275" s="61"/>
      <c r="BC275" s="87">
        <f t="shared" si="723"/>
        <v>0</v>
      </c>
      <c r="BD275" s="77">
        <f t="shared" si="724"/>
        <v>4.6710000000000002E-2</v>
      </c>
      <c r="BE275" s="87">
        <f>IF($A275&gt;'Debt Service'!BC$58, 0, SUM(BC275:BC$295)*BD275*BC$63/BC$64+SUM(BC276:BC$295)*(BC$64-BC$63)/BC$64*BD275)</f>
        <v>1326610.71</v>
      </c>
      <c r="BF275" s="61"/>
      <c r="BG275" s="87">
        <f t="shared" si="725"/>
        <v>0</v>
      </c>
      <c r="BH275" s="77">
        <f t="shared" si="726"/>
        <v>4.6710000000000002E-2</v>
      </c>
      <c r="BI275" s="87">
        <f>IF($A275&gt;'Debt Service'!BG$58, 0, SUM(BG275:BG$295)*BH275*BG$63/BG$64+SUM(BG276:BG$295)*(BG$64-BG$63)/BG$64*BH275)</f>
        <v>3312533.0700000003</v>
      </c>
      <c r="BJ275" s="61"/>
      <c r="BK275" s="35">
        <f t="shared" si="761"/>
        <v>0</v>
      </c>
      <c r="BL275" s="35">
        <f t="shared" si="762"/>
        <v>4639143.78</v>
      </c>
      <c r="BM275" s="8"/>
      <c r="BN275" s="87">
        <f t="shared" si="727"/>
        <v>0</v>
      </c>
      <c r="BO275" s="77">
        <f t="shared" si="728"/>
        <v>4.6710000000000002E-2</v>
      </c>
      <c r="BP275" s="87">
        <f>(SUM(BN275:BN$295)*BO275*BN$63/BN$64+SUM(BN276:BN$295)*(BN$64-BN$63)/BN$64*BO275)</f>
        <v>0</v>
      </c>
      <c r="BQ275" s="77"/>
      <c r="BR275" s="87">
        <f t="shared" si="729"/>
        <v>0</v>
      </c>
      <c r="BS275" s="77">
        <f t="shared" si="730"/>
        <v>4.6710000000000002E-2</v>
      </c>
      <c r="BT275" s="87">
        <f>IF($A275&gt;'Debt Service'!BR$58, 0, SUM(BR275:BR$295)*BS275*BR$63/BR$64+SUM(BR276:BR$295)*(BR$64-BR$63)/BR$64*BS275)</f>
        <v>3343128.12</v>
      </c>
      <c r="BU275" s="87"/>
      <c r="BV275" s="35">
        <f t="shared" si="763"/>
        <v>0</v>
      </c>
      <c r="BW275" s="35">
        <f t="shared" si="764"/>
        <v>3343128.12</v>
      </c>
      <c r="BX275" s="87"/>
      <c r="BY275" s="87"/>
      <c r="BZ275" s="77">
        <f t="shared" si="732"/>
        <v>4.6710000000000002E-2</v>
      </c>
      <c r="CA275" s="87">
        <f>(SUM(BY275:BY$295)*BZ275*BY$63/BY$64+SUM(BY276:BY$295)*(BY$64-BY$63)/BY$64*BZ275)</f>
        <v>0</v>
      </c>
      <c r="CB275" s="87"/>
      <c r="CC275" s="87">
        <f t="shared" si="733"/>
        <v>0</v>
      </c>
      <c r="CD275" s="77">
        <f t="shared" si="734"/>
        <v>4.6710000000000002E-2</v>
      </c>
      <c r="CE275" s="87">
        <f>IF(OR($A275&gt;'Debt Service'!CC$58,$A275&lt;CC$51), 0, SUM(CC275:CC$295)*CD275*CC$63/CC$64+SUM(CC276:CC$295)*(CC$64-CC$63)/CC$64*CD275)</f>
        <v>0</v>
      </c>
      <c r="CF275" s="87"/>
      <c r="CG275" s="87">
        <f t="shared" si="735"/>
        <v>0</v>
      </c>
      <c r="CH275" s="77">
        <f t="shared" si="736"/>
        <v>4.6710000000000002E-2</v>
      </c>
      <c r="CI275" s="87">
        <f>IF(OR($A275&gt;'Debt Service'!CG$58,$A275&lt;CG$51), 0, SUM(CG275:CG$295)*CH275*CG$63/CG$64+SUM(CG276:CG$295)*(CG$64-CG$63)/CG$64*CH275)</f>
        <v>3354852.33</v>
      </c>
      <c r="CJ275" s="87"/>
      <c r="CK275" s="87">
        <f t="shared" si="737"/>
        <v>0</v>
      </c>
      <c r="CL275" s="77">
        <f t="shared" si="738"/>
        <v>4.6710000000000002E-2</v>
      </c>
      <c r="CM275" s="87">
        <f>IF(OR($A275&gt;'Debt Service'!CK$58,$A275&lt;CK$51), 0, SUM(CK275:CK$295)*CL275*CK$63/CK$64+SUM(CK276:CK$295)*(CK$64-CK$63)/CK$64*CL275)</f>
        <v>3351582.6300000004</v>
      </c>
      <c r="CN275" s="87"/>
      <c r="CO275" s="162">
        <f t="shared" si="739"/>
        <v>0</v>
      </c>
      <c r="CP275" s="87">
        <f t="shared" si="740"/>
        <v>6706434.9600000009</v>
      </c>
      <c r="CQ275" s="87"/>
      <c r="CR275" s="87">
        <f t="shared" si="741"/>
        <v>0</v>
      </c>
      <c r="CS275" s="77">
        <f t="shared" si="742"/>
        <v>4.6710000000000002E-2</v>
      </c>
      <c r="CT275" s="87">
        <f>IF(OR($A275&gt;'Debt Service'!CR$58,$A275&lt;CR$51), 0, SUM(CR275:CR$295)*CS275*CR$63/CR$64+SUM(CR276:CR$295)*(CR$64-CR$63)/CR$64*CS275)</f>
        <v>0</v>
      </c>
      <c r="CU275" s="87"/>
      <c r="CV275" s="87">
        <f t="shared" si="743"/>
        <v>0</v>
      </c>
      <c r="CW275" s="77">
        <f t="shared" si="744"/>
        <v>4.6710000000000002E-2</v>
      </c>
      <c r="CX275" s="87">
        <f>IF(OR($A275&gt;'Debt Service'!CV$58,$A275&lt;CV$51), 0, SUM(CV275:CV$295)*CW275*CV$63/CV$64+SUM(CV276:CV$295)*(CV$64-CV$63)/CV$64*CW275)</f>
        <v>3345416.91</v>
      </c>
      <c r="CY275" s="87"/>
      <c r="CZ275" s="165">
        <f t="shared" si="745"/>
        <v>0</v>
      </c>
      <c r="DA275" s="165">
        <f t="shared" si="746"/>
        <v>3345416.91</v>
      </c>
      <c r="DB275" s="87"/>
      <c r="DC275" s="87">
        <f t="shared" si="747"/>
        <v>0</v>
      </c>
      <c r="DD275" s="77">
        <f t="shared" si="748"/>
        <v>4.6710000000000002E-2</v>
      </c>
      <c r="DE275" s="87">
        <f>IF($A275&gt;'Debt Service'!DC$58, 0, SUM(DC275:DC$295)*DD275*DC$63/DC$64+SUM(DC276:DC$295)*(DC$64-DC$63)/DC$64*DD275)</f>
        <v>0</v>
      </c>
      <c r="DF275" s="87"/>
      <c r="DG275" s="87">
        <f t="shared" si="749"/>
        <v>0</v>
      </c>
      <c r="DH275" s="77">
        <f t="shared" si="750"/>
        <v>4.6710000000000002E-2</v>
      </c>
      <c r="DI275" s="87">
        <f>IF($A275&gt;'Debt Service'!DG$58, 0, SUM(DG275:DG$295)*DH275*DG$63/DG$64+SUM(DG276:DG$295)*(DG$64-DG$63)/DG$64*DH275)</f>
        <v>0</v>
      </c>
      <c r="DJ275" s="87"/>
      <c r="DK275" s="87">
        <f t="shared" si="751"/>
        <v>0</v>
      </c>
      <c r="DL275" s="77">
        <f t="shared" si="752"/>
        <v>4.6710000000000002E-2</v>
      </c>
      <c r="DM275" s="87">
        <f>IF($A275&gt;'Debt Service'!DK$58, 0, SUM(DK275:DK$295)*DL275*DK$63/DK$64+SUM(DK276:DK$295)*(DK$64-DK$63)/DK$64*DL275)</f>
        <v>0</v>
      </c>
      <c r="DN275" s="87"/>
      <c r="DO275" s="87">
        <f t="shared" si="753"/>
        <v>0</v>
      </c>
      <c r="DP275" s="77">
        <f t="shared" si="754"/>
        <v>4.6710000000000002E-2</v>
      </c>
      <c r="DQ275" s="87">
        <f>IF($A275&gt;'Debt Service'!DO$58, 0, SUM(DO275:DO$295)*DP275*DO$63/DO$64+SUM(DO276:DO$295)*(DO$64-DO$63)/DO$64*DP275)</f>
        <v>0</v>
      </c>
      <c r="DR275" s="87"/>
      <c r="DS275" s="87">
        <f t="shared" si="755"/>
        <v>0</v>
      </c>
      <c r="DT275" s="77">
        <f t="shared" si="756"/>
        <v>4.6710000000000002E-2</v>
      </c>
      <c r="DU275" s="87">
        <f>IF($A275&gt;'Debt Service'!DS$58, 0, SUM(DS275:DS$295)*DT275*DS$63/DS$64+SUM(DS276:DS$295)*(DS$64-DS$63)/DS$64*DT275)</f>
        <v>0</v>
      </c>
      <c r="DV275" s="87"/>
      <c r="DW275" s="165">
        <f t="shared" si="765"/>
        <v>0</v>
      </c>
      <c r="DX275" s="165">
        <f t="shared" si="766"/>
        <v>20222954.370000001</v>
      </c>
      <c r="DY275" s="87"/>
      <c r="DZ275" s="53">
        <f t="shared" si="757"/>
        <v>2040</v>
      </c>
      <c r="EA275" s="35">
        <f t="shared" si="758"/>
        <v>0</v>
      </c>
      <c r="EB275" s="35">
        <f t="shared" si="759"/>
        <v>20222954.370000001</v>
      </c>
      <c r="EC275" s="77">
        <f>IF($A275&gt;2042, VLOOKUP($A275, Assumptions!$A$8:$D$44, Assumptions!$D$1, FALSE) +'Debt Service'!DS$307, MAX(EB275/SUM(EA275:EA$295), EC276))</f>
        <v>4.6710000000000002E-2</v>
      </c>
      <c r="ED275" s="172">
        <f t="shared" si="767"/>
        <v>17</v>
      </c>
      <c r="EE275" s="61"/>
    </row>
    <row r="276" spans="1:135" s="33" customFormat="1" outlineLevel="1">
      <c r="A276" s="7">
        <f t="shared" si="760"/>
        <v>2041</v>
      </c>
      <c r="B276" s="151">
        <f>Assumptions!B25</f>
        <v>5.3800000000000001E-2</v>
      </c>
      <c r="C276" s="151">
        <f>Assumptions!C25</f>
        <v>5.3800000000000001E-2</v>
      </c>
      <c r="D276" s="151">
        <f>Assumptions!D25</f>
        <v>3.5000000000000003E-2</v>
      </c>
      <c r="E276" s="151">
        <f>Assumptions!E25</f>
        <v>5.2999999999999999E-2</v>
      </c>
      <c r="F276" s="8"/>
      <c r="G276" s="8"/>
      <c r="H276" s="8"/>
      <c r="I276" s="8"/>
      <c r="J276" s="8"/>
      <c r="K276" s="8"/>
      <c r="L276" s="8"/>
      <c r="M276" s="87">
        <f t="shared" si="701"/>
        <v>0</v>
      </c>
      <c r="N276" s="77" t="str">
        <f t="shared" si="702"/>
        <v xml:space="preserve">   </v>
      </c>
      <c r="O276" s="87">
        <f>IF($A276&gt;'Debt Service'!M$58, 0, SUM(M276:M$295)*N276*M$63/M$64+SUM(M277:M$295)*(M$64-M$63)/M$64*N276)</f>
        <v>0</v>
      </c>
      <c r="P276" s="35"/>
      <c r="Q276" s="87">
        <f t="shared" si="703"/>
        <v>0</v>
      </c>
      <c r="R276" s="77" t="str">
        <f t="shared" si="704"/>
        <v xml:space="preserve">   </v>
      </c>
      <c r="S276" s="87">
        <f>IF($A276&gt;'Debt Service'!Q$58, 0, SUM(Q276:Q$295)*R276*Q$63/Q$64+SUM(Q277:Q$295)*(Q$64-Q$63)/Q$64*R276)</f>
        <v>0</v>
      </c>
      <c r="T276" s="35"/>
      <c r="U276" s="87">
        <f t="shared" si="705"/>
        <v>0</v>
      </c>
      <c r="V276" s="35">
        <f t="shared" si="706"/>
        <v>0</v>
      </c>
      <c r="W276" s="35"/>
      <c r="X276" s="87">
        <f t="shared" si="707"/>
        <v>0</v>
      </c>
      <c r="Y276" s="77" t="str">
        <f t="shared" si="708"/>
        <v xml:space="preserve">   </v>
      </c>
      <c r="Z276" s="87">
        <f>IF($A276&gt;'Debt Service'!X$58, 0, SUM(X276:X$295)*Y276*X$63/X$64+SUM(X277:X$295)*(X$64-X$63)/X$64*Y276)</f>
        <v>0</v>
      </c>
      <c r="AA276" s="87"/>
      <c r="AB276" s="87">
        <f t="shared" si="709"/>
        <v>0</v>
      </c>
      <c r="AC276" s="77">
        <f t="shared" si="710"/>
        <v>4.3000000000000003E-2</v>
      </c>
      <c r="AD276" s="87">
        <f>(SUM(AB276:AB$295)*AC276*AB$63/AB$64+SUM(AB277:AB$295)*(AB$64-AB$63)/AB$64*AC276)</f>
        <v>0</v>
      </c>
      <c r="AE276" s="35"/>
      <c r="AF276" s="87">
        <f t="shared" si="711"/>
        <v>0</v>
      </c>
      <c r="AG276" s="77">
        <f t="shared" si="712"/>
        <v>4.6710000000000002E-2</v>
      </c>
      <c r="AH276" s="87">
        <f>(SUM(AF276:AF$295)*AG276*AF$63/AF$64+SUM(AF277:AF$295)*(AF$64-AF$63)/AF$64*AG276)</f>
        <v>0</v>
      </c>
      <c r="AI276" s="35"/>
      <c r="AJ276" s="87">
        <f t="shared" si="713"/>
        <v>0</v>
      </c>
      <c r="AK276" s="77">
        <f t="shared" si="714"/>
        <v>4.6710000000000002E-2</v>
      </c>
      <c r="AL276" s="87">
        <f>IF($A276&gt;'Debt Service'!AJ$58, 0, SUM(AJ276:AJ$295)*AK276*AJ$63/AJ$64+SUM(AJ277:AJ$295)*(AJ$64-AJ$63)/AJ$64*AK276)</f>
        <v>2188830.6</v>
      </c>
      <c r="AM276" s="36"/>
      <c r="AN276" s="87">
        <f t="shared" si="715"/>
        <v>0</v>
      </c>
      <c r="AO276" s="77" t="str">
        <f t="shared" si="716"/>
        <v xml:space="preserve">   </v>
      </c>
      <c r="AP276" s="87">
        <f>IF($A276&gt;'Debt Service'!AN$58, 0, SUM(AN276:AN$295)*AO276*AN$63/AN$64+SUM(AN277:AN$295)*(AN$64-AN$63)/AN$64*AO276)</f>
        <v>0</v>
      </c>
      <c r="AQ276" s="35"/>
      <c r="AR276" s="87">
        <f t="shared" si="717"/>
        <v>0</v>
      </c>
      <c r="AS276" s="77" t="str">
        <f t="shared" si="718"/>
        <v xml:space="preserve">   </v>
      </c>
      <c r="AT276" s="87">
        <f>IF($A276&gt;'Debt Service'!AR$58, 0, SUM(AR276:AR$295)*AS276*AR$63/AR$64+SUM(AR277:AR$295)*(AR$64-AR$63)/AR$64*AS276)</f>
        <v>0</v>
      </c>
      <c r="AV276" s="35">
        <f t="shared" si="719"/>
        <v>0</v>
      </c>
      <c r="AW276" s="35">
        <f t="shared" si="720"/>
        <v>2188830.6</v>
      </c>
      <c r="AX276" s="35"/>
      <c r="AY276" s="87">
        <f t="shared" si="721"/>
        <v>0</v>
      </c>
      <c r="AZ276" s="77">
        <f t="shared" si="722"/>
        <v>4.6710000000000002E-2</v>
      </c>
      <c r="BA276" s="87">
        <f>(SUM(AY276:AY$295)*AZ276*AY$63/AY$64+SUM(AY277:AY$295)*(AY$64-AY$63)/AY$64*AZ276)</f>
        <v>0</v>
      </c>
      <c r="BB276" s="61"/>
      <c r="BC276" s="87">
        <f t="shared" si="723"/>
        <v>0</v>
      </c>
      <c r="BD276" s="77">
        <f t="shared" si="724"/>
        <v>4.6710000000000002E-2</v>
      </c>
      <c r="BE276" s="87">
        <f>IF($A276&gt;'Debt Service'!BC$58, 0, SUM(BC276:BC$295)*BD276*BC$63/BC$64+SUM(BC277:BC$295)*(BC$64-BC$63)/BC$64*BD276)</f>
        <v>1326610.71</v>
      </c>
      <c r="BF276" s="61"/>
      <c r="BG276" s="87">
        <f t="shared" si="725"/>
        <v>0</v>
      </c>
      <c r="BH276" s="77">
        <f t="shared" si="726"/>
        <v>4.6710000000000002E-2</v>
      </c>
      <c r="BI276" s="87">
        <f>IF($A276&gt;'Debt Service'!BG$58, 0, SUM(BG276:BG$295)*BH276*BG$63/BG$64+SUM(BG277:BG$295)*(BG$64-BG$63)/BG$64*BH276)</f>
        <v>3312533.0700000003</v>
      </c>
      <c r="BJ276" s="61"/>
      <c r="BK276" s="35">
        <f t="shared" si="761"/>
        <v>0</v>
      </c>
      <c r="BL276" s="35">
        <f t="shared" si="762"/>
        <v>4639143.78</v>
      </c>
      <c r="BM276" s="8"/>
      <c r="BN276" s="87">
        <f t="shared" si="727"/>
        <v>0</v>
      </c>
      <c r="BO276" s="77">
        <f t="shared" si="728"/>
        <v>4.6710000000000002E-2</v>
      </c>
      <c r="BP276" s="87">
        <f>(SUM(BN276:BN$295)*BO276*BN$63/BN$64+SUM(BN277:BN$295)*(BN$64-BN$63)/BN$64*BO276)</f>
        <v>0</v>
      </c>
      <c r="BQ276" s="77"/>
      <c r="BR276" s="87">
        <f t="shared" si="729"/>
        <v>0</v>
      </c>
      <c r="BS276" s="77">
        <f t="shared" si="730"/>
        <v>4.6710000000000002E-2</v>
      </c>
      <c r="BT276" s="87">
        <f>IF($A276&gt;'Debt Service'!BR$58, 0, SUM(BR276:BR$295)*BS276*BR$63/BR$64+SUM(BR277:BR$295)*(BR$64-BR$63)/BR$64*BS276)</f>
        <v>3343128.12</v>
      </c>
      <c r="BU276" s="87"/>
      <c r="BV276" s="35">
        <f t="shared" si="763"/>
        <v>0</v>
      </c>
      <c r="BW276" s="35">
        <f t="shared" si="764"/>
        <v>3343128.12</v>
      </c>
      <c r="BX276" s="87"/>
      <c r="BY276" s="87"/>
      <c r="BZ276" s="77">
        <f t="shared" si="732"/>
        <v>4.6710000000000002E-2</v>
      </c>
      <c r="CA276" s="87">
        <f>(SUM(BY276:BY$295)*BZ276*BY$63/BY$64+SUM(BY277:BY$295)*(BY$64-BY$63)/BY$64*BZ276)</f>
        <v>0</v>
      </c>
      <c r="CB276" s="87"/>
      <c r="CC276" s="87">
        <f t="shared" si="733"/>
        <v>0</v>
      </c>
      <c r="CD276" s="77">
        <f t="shared" si="734"/>
        <v>4.6710000000000002E-2</v>
      </c>
      <c r="CE276" s="87">
        <f>IF(OR($A276&gt;'Debt Service'!CC$58,$A276&lt;CC$51), 0, SUM(CC276:CC$295)*CD276*CC$63/CC$64+SUM(CC277:CC$295)*(CC$64-CC$63)/CC$64*CD276)</f>
        <v>0</v>
      </c>
      <c r="CF276" s="87"/>
      <c r="CG276" s="87">
        <f t="shared" si="735"/>
        <v>0</v>
      </c>
      <c r="CH276" s="77">
        <f t="shared" si="736"/>
        <v>4.6710000000000002E-2</v>
      </c>
      <c r="CI276" s="87">
        <f>IF(OR($A276&gt;'Debt Service'!CG$58,$A276&lt;CG$51), 0, SUM(CG276:CG$295)*CH276*CG$63/CG$64+SUM(CG277:CG$295)*(CG$64-CG$63)/CG$64*CH276)</f>
        <v>3354852.33</v>
      </c>
      <c r="CJ276" s="87"/>
      <c r="CK276" s="87">
        <f t="shared" si="737"/>
        <v>0</v>
      </c>
      <c r="CL276" s="77">
        <f t="shared" si="738"/>
        <v>4.6710000000000002E-2</v>
      </c>
      <c r="CM276" s="87">
        <f>IF(OR($A276&gt;'Debt Service'!CK$58,$A276&lt;CK$51), 0, SUM(CK276:CK$295)*CL276*CK$63/CK$64+SUM(CK277:CK$295)*(CK$64-CK$63)/CK$64*CL276)</f>
        <v>3351582.6300000004</v>
      </c>
      <c r="CN276" s="87"/>
      <c r="CO276" s="162">
        <f t="shared" si="739"/>
        <v>0</v>
      </c>
      <c r="CP276" s="87">
        <f t="shared" si="740"/>
        <v>6706434.9600000009</v>
      </c>
      <c r="CQ276" s="87"/>
      <c r="CR276" s="87">
        <f t="shared" si="741"/>
        <v>0</v>
      </c>
      <c r="CS276" s="77">
        <f t="shared" si="742"/>
        <v>4.6710000000000002E-2</v>
      </c>
      <c r="CT276" s="87">
        <f>IF(OR($A276&gt;'Debt Service'!CR$58,$A276&lt;CR$51), 0, SUM(CR276:CR$295)*CS276*CR$63/CR$64+SUM(CR277:CR$295)*(CR$64-CR$63)/CR$64*CS276)</f>
        <v>0</v>
      </c>
      <c r="CU276" s="87"/>
      <c r="CV276" s="87">
        <f t="shared" si="743"/>
        <v>0</v>
      </c>
      <c r="CW276" s="77">
        <f t="shared" si="744"/>
        <v>4.6710000000000002E-2</v>
      </c>
      <c r="CX276" s="87">
        <f>IF(OR($A276&gt;'Debt Service'!CV$58,$A276&lt;CV$51), 0, SUM(CV276:CV$295)*CW276*CV$63/CV$64+SUM(CV277:CV$295)*(CV$64-CV$63)/CV$64*CW276)</f>
        <v>3345416.91</v>
      </c>
      <c r="CY276" s="87"/>
      <c r="CZ276" s="165">
        <f t="shared" si="745"/>
        <v>0</v>
      </c>
      <c r="DA276" s="165">
        <f t="shared" si="746"/>
        <v>3345416.91</v>
      </c>
      <c r="DB276" s="87"/>
      <c r="DC276" s="87">
        <f t="shared" si="747"/>
        <v>0</v>
      </c>
      <c r="DD276" s="77">
        <f t="shared" si="748"/>
        <v>4.6710000000000002E-2</v>
      </c>
      <c r="DE276" s="87">
        <f>IF($A276&gt;'Debt Service'!DC$58, 0, SUM(DC276:DC$295)*DD276*DC$63/DC$64+SUM(DC277:DC$295)*(DC$64-DC$63)/DC$64*DD276)</f>
        <v>0</v>
      </c>
      <c r="DF276" s="87"/>
      <c r="DG276" s="87">
        <f t="shared" si="749"/>
        <v>0</v>
      </c>
      <c r="DH276" s="77">
        <f t="shared" si="750"/>
        <v>4.6710000000000002E-2</v>
      </c>
      <c r="DI276" s="87">
        <f>IF($A276&gt;'Debt Service'!DG$58, 0, SUM(DG276:DG$295)*DH276*DG$63/DG$64+SUM(DG277:DG$295)*(DG$64-DG$63)/DG$64*DH276)</f>
        <v>0</v>
      </c>
      <c r="DJ276" s="87"/>
      <c r="DK276" s="87">
        <f t="shared" si="751"/>
        <v>0</v>
      </c>
      <c r="DL276" s="77">
        <f t="shared" si="752"/>
        <v>4.6710000000000002E-2</v>
      </c>
      <c r="DM276" s="87">
        <f>IF($A276&gt;'Debt Service'!DK$58, 0, SUM(DK276:DK$295)*DL276*DK$63/DK$64+SUM(DK277:DK$295)*(DK$64-DK$63)/DK$64*DL276)</f>
        <v>0</v>
      </c>
      <c r="DN276" s="87"/>
      <c r="DO276" s="87">
        <f t="shared" si="753"/>
        <v>0</v>
      </c>
      <c r="DP276" s="77">
        <f t="shared" si="754"/>
        <v>4.6710000000000002E-2</v>
      </c>
      <c r="DQ276" s="87">
        <f>IF($A276&gt;'Debt Service'!DO$58, 0, SUM(DO276:DO$295)*DP276*DO$63/DO$64+SUM(DO277:DO$295)*(DO$64-DO$63)/DO$64*DP276)</f>
        <v>0</v>
      </c>
      <c r="DR276" s="87"/>
      <c r="DS276" s="87">
        <f t="shared" si="755"/>
        <v>0</v>
      </c>
      <c r="DT276" s="77">
        <f t="shared" si="756"/>
        <v>4.6710000000000002E-2</v>
      </c>
      <c r="DU276" s="87">
        <f>IF($A276&gt;'Debt Service'!DS$58, 0, SUM(DS276:DS$295)*DT276*DS$63/DS$64+SUM(DS277:DS$295)*(DS$64-DS$63)/DS$64*DT276)</f>
        <v>0</v>
      </c>
      <c r="DV276" s="87"/>
      <c r="DW276" s="165">
        <f t="shared" si="765"/>
        <v>0</v>
      </c>
      <c r="DX276" s="165">
        <f t="shared" si="766"/>
        <v>20222954.370000001</v>
      </c>
      <c r="DY276" s="87"/>
      <c r="DZ276" s="53">
        <f t="shared" si="757"/>
        <v>2041</v>
      </c>
      <c r="EA276" s="35">
        <f t="shared" si="758"/>
        <v>0</v>
      </c>
      <c r="EB276" s="35">
        <f t="shared" si="759"/>
        <v>20222954.370000001</v>
      </c>
      <c r="EC276" s="77">
        <f>IF($A276&gt;2042, VLOOKUP($A276, Assumptions!$A$8:$D$44, Assumptions!$D$1, FALSE) +'Debt Service'!DS$307, MAX(EB276/SUM(EA276:EA$295), EC277))</f>
        <v>4.6710000000000002E-2</v>
      </c>
      <c r="ED276" s="172">
        <f t="shared" si="767"/>
        <v>18</v>
      </c>
      <c r="EE276" s="61"/>
    </row>
    <row r="277" spans="1:135" s="33" customFormat="1" outlineLevel="1">
      <c r="A277" s="7">
        <f t="shared" si="760"/>
        <v>2042</v>
      </c>
      <c r="B277" s="151">
        <f>Assumptions!B26</f>
        <v>5.3800000000000001E-2</v>
      </c>
      <c r="C277" s="151">
        <f>Assumptions!C26</f>
        <v>5.3800000000000001E-2</v>
      </c>
      <c r="D277" s="151">
        <f>Assumptions!D26</f>
        <v>3.5000000000000003E-2</v>
      </c>
      <c r="E277" s="151">
        <f>Assumptions!E26</f>
        <v>5.2999999999999999E-2</v>
      </c>
      <c r="F277" s="8"/>
      <c r="G277" s="8"/>
      <c r="H277" s="8"/>
      <c r="I277" s="8"/>
      <c r="J277" s="8"/>
      <c r="K277" s="8"/>
      <c r="L277" s="8"/>
      <c r="M277" s="87">
        <f t="shared" si="701"/>
        <v>0</v>
      </c>
      <c r="N277" s="77" t="str">
        <f t="shared" si="702"/>
        <v xml:space="preserve">   </v>
      </c>
      <c r="O277" s="87">
        <f>IF($A277&gt;'Debt Service'!M$58, 0, SUM(M277:M$295)*N277*M$63/M$64+SUM(M278:M$295)*(M$64-M$63)/M$64*N277)</f>
        <v>0</v>
      </c>
      <c r="P277" s="35"/>
      <c r="Q277" s="87">
        <f t="shared" si="703"/>
        <v>0</v>
      </c>
      <c r="R277" s="77" t="str">
        <f t="shared" si="704"/>
        <v xml:space="preserve">   </v>
      </c>
      <c r="S277" s="87">
        <f>IF($A277&gt;'Debt Service'!Q$58, 0, SUM(Q277:Q$295)*R277*Q$63/Q$64+SUM(Q278:Q$295)*(Q$64-Q$63)/Q$64*R277)</f>
        <v>0</v>
      </c>
      <c r="T277" s="35"/>
      <c r="U277" s="87">
        <f t="shared" si="705"/>
        <v>0</v>
      </c>
      <c r="V277" s="35">
        <f t="shared" si="706"/>
        <v>0</v>
      </c>
      <c r="W277" s="35"/>
      <c r="X277" s="87">
        <f t="shared" si="707"/>
        <v>0</v>
      </c>
      <c r="Y277" s="77" t="str">
        <f t="shared" si="708"/>
        <v xml:space="preserve">   </v>
      </c>
      <c r="Z277" s="87">
        <f>IF($A277&gt;'Debt Service'!X$58, 0, SUM(X277:X$295)*Y277*X$63/X$64+SUM(X278:X$295)*(X$64-X$63)/X$64*Y277)</f>
        <v>0</v>
      </c>
      <c r="AA277" s="87"/>
      <c r="AB277" s="87">
        <f t="shared" si="709"/>
        <v>0</v>
      </c>
      <c r="AC277" s="77">
        <f t="shared" si="710"/>
        <v>4.3000000000000003E-2</v>
      </c>
      <c r="AD277" s="87">
        <f>(SUM(AB277:AB$295)*AC277*AB$63/AB$64+SUM(AB278:AB$295)*(AB$64-AB$63)/AB$64*AC277)</f>
        <v>0</v>
      </c>
      <c r="AE277" s="35"/>
      <c r="AF277" s="87">
        <f t="shared" si="711"/>
        <v>0</v>
      </c>
      <c r="AG277" s="77">
        <f t="shared" si="712"/>
        <v>4.6710000000000002E-2</v>
      </c>
      <c r="AH277" s="87">
        <f>(SUM(AF277:AF$295)*AG277*AF$63/AF$64+SUM(AF278:AF$295)*(AF$64-AF$63)/AF$64*AG277)</f>
        <v>0</v>
      </c>
      <c r="AI277" s="35"/>
      <c r="AJ277" s="87">
        <f t="shared" si="713"/>
        <v>46860000</v>
      </c>
      <c r="AK277" s="77">
        <f t="shared" si="714"/>
        <v>4.6710000000000002E-2</v>
      </c>
      <c r="AL277" s="87">
        <f>IF($A277&gt;'Debt Service'!AJ$58, 0, SUM(AJ277:AJ$295)*AK277*AJ$63/AJ$64+SUM(AJ278:AJ$295)*(AJ$64-AJ$63)/AJ$64*AK277)</f>
        <v>1094415.3</v>
      </c>
      <c r="AM277" s="35"/>
      <c r="AN277" s="87">
        <f t="shared" si="715"/>
        <v>0</v>
      </c>
      <c r="AO277" s="77" t="str">
        <f t="shared" si="716"/>
        <v xml:space="preserve">   </v>
      </c>
      <c r="AP277" s="87">
        <f>IF($A277&gt;'Debt Service'!AN$58, 0, SUM(AN277:AN$295)*AO277*AN$63/AN$64+SUM(AN278:AN$295)*(AN$64-AN$63)/AN$64*AO277)</f>
        <v>0</v>
      </c>
      <c r="AQ277" s="35"/>
      <c r="AR277" s="87">
        <f t="shared" si="717"/>
        <v>0</v>
      </c>
      <c r="AS277" s="77" t="str">
        <f t="shared" si="718"/>
        <v xml:space="preserve">   </v>
      </c>
      <c r="AT277" s="87">
        <f>IF($A277&gt;'Debt Service'!AR$58, 0, SUM(AR277:AR$295)*AS277*AR$63/AR$64+SUM(AR278:AR$295)*(AR$64-AR$63)/AR$64*AS277)</f>
        <v>0</v>
      </c>
      <c r="AV277" s="35">
        <f t="shared" si="719"/>
        <v>46860000</v>
      </c>
      <c r="AW277" s="35">
        <f t="shared" si="720"/>
        <v>1094415.3</v>
      </c>
      <c r="AX277" s="35"/>
      <c r="AY277" s="87">
        <f t="shared" si="721"/>
        <v>0</v>
      </c>
      <c r="AZ277" s="77">
        <f t="shared" si="722"/>
        <v>4.6710000000000002E-2</v>
      </c>
      <c r="BA277" s="87">
        <f>(SUM(AY277:AY$295)*AZ277*AY$63/AY$64+SUM(AY278:AY$295)*(AY$64-AY$63)/AY$64*AZ277)</f>
        <v>0</v>
      </c>
      <c r="BB277" s="61"/>
      <c r="BC277" s="87">
        <f t="shared" si="723"/>
        <v>0</v>
      </c>
      <c r="BD277" s="77">
        <f t="shared" si="724"/>
        <v>4.6710000000000002E-2</v>
      </c>
      <c r="BE277" s="87">
        <f>IF($A277&gt;'Debt Service'!BC$58, 0, SUM(BC277:BC$295)*BD277*BC$63/BC$64+SUM(BC278:BC$295)*(BC$64-BC$63)/BC$64*BD277)</f>
        <v>1326610.71</v>
      </c>
      <c r="BF277" s="61"/>
      <c r="BG277" s="87">
        <f t="shared" si="725"/>
        <v>0</v>
      </c>
      <c r="BH277" s="77">
        <f t="shared" si="726"/>
        <v>4.6710000000000002E-2</v>
      </c>
      <c r="BI277" s="87">
        <f>IF($A277&gt;'Debt Service'!BG$58, 0, SUM(BG277:BG$295)*BH277*BG$63/BG$64+SUM(BG278:BG$295)*(BG$64-BG$63)/BG$64*BH277)</f>
        <v>3312533.0700000003</v>
      </c>
      <c r="BJ277" s="61"/>
      <c r="BK277" s="35">
        <f t="shared" si="761"/>
        <v>0</v>
      </c>
      <c r="BL277" s="35">
        <f t="shared" si="762"/>
        <v>4639143.78</v>
      </c>
      <c r="BM277" s="8"/>
      <c r="BN277" s="87">
        <f t="shared" si="727"/>
        <v>0</v>
      </c>
      <c r="BO277" s="77">
        <f t="shared" si="728"/>
        <v>4.6710000000000002E-2</v>
      </c>
      <c r="BP277" s="87">
        <f>(SUM(BN277:BN$295)*BO277*BN$63/BN$64+SUM(BN278:BN$295)*(BN$64-BN$63)/BN$64*BO277)</f>
        <v>0</v>
      </c>
      <c r="BQ277" s="77"/>
      <c r="BR277" s="87">
        <f t="shared" si="729"/>
        <v>0</v>
      </c>
      <c r="BS277" s="77">
        <f t="shared" si="730"/>
        <v>4.6710000000000002E-2</v>
      </c>
      <c r="BT277" s="87">
        <f>IF($A277&gt;'Debt Service'!BR$58, 0, SUM(BR277:BR$295)*BS277*BR$63/BR$64+SUM(BR278:BR$295)*(BR$64-BR$63)/BR$64*BS277)</f>
        <v>3343128.12</v>
      </c>
      <c r="BU277" s="87"/>
      <c r="BV277" s="35">
        <f t="shared" si="763"/>
        <v>0</v>
      </c>
      <c r="BW277" s="35">
        <f t="shared" si="764"/>
        <v>3343128.12</v>
      </c>
      <c r="BX277" s="87"/>
      <c r="BY277" s="87"/>
      <c r="BZ277" s="77">
        <f t="shared" si="732"/>
        <v>4.6710000000000002E-2</v>
      </c>
      <c r="CA277" s="87">
        <f>(SUM(BY277:BY$295)*BZ277*BY$63/BY$64+SUM(BY278:BY$295)*(BY$64-BY$63)/BY$64*BZ277)</f>
        <v>0</v>
      </c>
      <c r="CB277" s="87"/>
      <c r="CC277" s="87">
        <f t="shared" si="733"/>
        <v>0</v>
      </c>
      <c r="CD277" s="77">
        <f t="shared" si="734"/>
        <v>4.6710000000000002E-2</v>
      </c>
      <c r="CE277" s="87">
        <f>IF(OR($A277&gt;'Debt Service'!CC$58,$A277&lt;CC$51), 0, SUM(CC277:CC$295)*CD277*CC$63/CC$64+SUM(CC278:CC$295)*(CC$64-CC$63)/CC$64*CD277)</f>
        <v>0</v>
      </c>
      <c r="CF277" s="87"/>
      <c r="CG277" s="87">
        <f t="shared" si="735"/>
        <v>0</v>
      </c>
      <c r="CH277" s="77">
        <f t="shared" si="736"/>
        <v>4.6710000000000002E-2</v>
      </c>
      <c r="CI277" s="87">
        <f>IF(OR($A277&gt;'Debt Service'!CG$58,$A277&lt;CG$51), 0, SUM(CG277:CG$295)*CH277*CG$63/CG$64+SUM(CG278:CG$295)*(CG$64-CG$63)/CG$64*CH277)</f>
        <v>3354852.33</v>
      </c>
      <c r="CJ277" s="87"/>
      <c r="CK277" s="87">
        <f t="shared" si="737"/>
        <v>0</v>
      </c>
      <c r="CL277" s="77">
        <f t="shared" si="738"/>
        <v>4.6710000000000002E-2</v>
      </c>
      <c r="CM277" s="87">
        <f>IF(OR($A277&gt;'Debt Service'!CK$58,$A277&lt;CK$51), 0, SUM(CK277:CK$295)*CL277*CK$63/CK$64+SUM(CK278:CK$295)*(CK$64-CK$63)/CK$64*CL277)</f>
        <v>3351582.6300000004</v>
      </c>
      <c r="CN277" s="87"/>
      <c r="CO277" s="162">
        <f t="shared" si="739"/>
        <v>0</v>
      </c>
      <c r="CP277" s="87">
        <f t="shared" si="740"/>
        <v>6706434.9600000009</v>
      </c>
      <c r="CQ277" s="87"/>
      <c r="CR277" s="87">
        <f t="shared" si="741"/>
        <v>0</v>
      </c>
      <c r="CS277" s="77">
        <f t="shared" si="742"/>
        <v>4.6710000000000002E-2</v>
      </c>
      <c r="CT277" s="87">
        <f>IF(OR($A277&gt;'Debt Service'!CR$58,$A277&lt;CR$51), 0, SUM(CR277:CR$295)*CS277*CR$63/CR$64+SUM(CR278:CR$295)*(CR$64-CR$63)/CR$64*CS277)</f>
        <v>0</v>
      </c>
      <c r="CU277" s="87"/>
      <c r="CV277" s="87">
        <f t="shared" si="743"/>
        <v>0</v>
      </c>
      <c r="CW277" s="77">
        <f t="shared" si="744"/>
        <v>4.6710000000000002E-2</v>
      </c>
      <c r="CX277" s="87">
        <f>IF(OR($A277&gt;'Debt Service'!CV$58,$A277&lt;CV$51), 0, SUM(CV277:CV$295)*CW277*CV$63/CV$64+SUM(CV278:CV$295)*(CV$64-CV$63)/CV$64*CW277)</f>
        <v>3345416.91</v>
      </c>
      <c r="CY277" s="87"/>
      <c r="CZ277" s="165">
        <f t="shared" si="745"/>
        <v>0</v>
      </c>
      <c r="DA277" s="165">
        <f t="shared" si="746"/>
        <v>3345416.91</v>
      </c>
      <c r="DB277" s="87"/>
      <c r="DC277" s="87">
        <f t="shared" si="747"/>
        <v>0</v>
      </c>
      <c r="DD277" s="77">
        <f t="shared" si="748"/>
        <v>4.6710000000000002E-2</v>
      </c>
      <c r="DE277" s="87">
        <f>IF($A277&gt;'Debt Service'!DC$58, 0, SUM(DC277:DC$295)*DD277*DC$63/DC$64+SUM(DC278:DC$295)*(DC$64-DC$63)/DC$64*DD277)</f>
        <v>0</v>
      </c>
      <c r="DF277" s="87"/>
      <c r="DG277" s="87">
        <f t="shared" si="749"/>
        <v>0</v>
      </c>
      <c r="DH277" s="77">
        <f t="shared" si="750"/>
        <v>4.6710000000000002E-2</v>
      </c>
      <c r="DI277" s="87">
        <f>IF($A277&gt;'Debt Service'!DG$58, 0, SUM(DG277:DG$295)*DH277*DG$63/DG$64+SUM(DG278:DG$295)*(DG$64-DG$63)/DG$64*DH277)</f>
        <v>0</v>
      </c>
      <c r="DJ277" s="87"/>
      <c r="DK277" s="87">
        <f t="shared" si="751"/>
        <v>0</v>
      </c>
      <c r="DL277" s="77">
        <f t="shared" si="752"/>
        <v>4.6710000000000002E-2</v>
      </c>
      <c r="DM277" s="87">
        <f>IF($A277&gt;'Debt Service'!DK$58, 0, SUM(DK277:DK$295)*DL277*DK$63/DK$64+SUM(DK278:DK$295)*(DK$64-DK$63)/DK$64*DL277)</f>
        <v>0</v>
      </c>
      <c r="DN277" s="87"/>
      <c r="DO277" s="87">
        <f t="shared" si="753"/>
        <v>0</v>
      </c>
      <c r="DP277" s="77">
        <f t="shared" si="754"/>
        <v>4.6710000000000002E-2</v>
      </c>
      <c r="DQ277" s="87">
        <f>IF($A277&gt;'Debt Service'!DO$58, 0, SUM(DO277:DO$295)*DP277*DO$63/DO$64+SUM(DO278:DO$295)*(DO$64-DO$63)/DO$64*DP277)</f>
        <v>0</v>
      </c>
      <c r="DR277" s="87"/>
      <c r="DS277" s="87">
        <f t="shared" si="755"/>
        <v>0</v>
      </c>
      <c r="DT277" s="77">
        <f t="shared" si="756"/>
        <v>4.6710000000000002E-2</v>
      </c>
      <c r="DU277" s="87">
        <f>IF($A277&gt;'Debt Service'!DS$58, 0, SUM(DS277:DS$295)*DT277*DS$63/DS$64+SUM(DS278:DS$295)*(DS$64-DS$63)/DS$64*DT277)</f>
        <v>0</v>
      </c>
      <c r="DV277" s="87"/>
      <c r="DW277" s="165">
        <f t="shared" si="765"/>
        <v>46860000</v>
      </c>
      <c r="DX277" s="165">
        <f t="shared" si="766"/>
        <v>19128539.07</v>
      </c>
      <c r="DY277" s="87"/>
      <c r="DZ277" s="53">
        <f t="shared" si="757"/>
        <v>2042</v>
      </c>
      <c r="EA277" s="35">
        <f t="shared" si="758"/>
        <v>46860000</v>
      </c>
      <c r="EB277" s="35">
        <f t="shared" si="759"/>
        <v>19128539.07</v>
      </c>
      <c r="EC277" s="77">
        <f>IF($A277&gt;2042, VLOOKUP($A277, Assumptions!$A$8:$D$44, Assumptions!$D$1, FALSE) +'Debt Service'!DS$307, MAX(EB277/SUM(EA277:EA$295), EC278))</f>
        <v>4.4182172575396063E-2</v>
      </c>
      <c r="ED277" s="172">
        <f t="shared" si="767"/>
        <v>19</v>
      </c>
      <c r="EE277" s="61"/>
    </row>
    <row r="278" spans="1:135" s="33" customFormat="1" outlineLevel="1">
      <c r="A278" s="7">
        <f t="shared" si="760"/>
        <v>2043</v>
      </c>
      <c r="B278" s="151">
        <f>Assumptions!B27</f>
        <v>5.3800000000000001E-2</v>
      </c>
      <c r="C278" s="151">
        <f>Assumptions!C27</f>
        <v>5.3800000000000001E-2</v>
      </c>
      <c r="D278" s="151">
        <f>Assumptions!D27</f>
        <v>3.5000000000000003E-2</v>
      </c>
      <c r="E278" s="151">
        <f>Assumptions!E27</f>
        <v>5.2999999999999999E-2</v>
      </c>
      <c r="F278" s="8"/>
      <c r="G278" s="8"/>
      <c r="H278" s="8"/>
      <c r="I278" s="8"/>
      <c r="J278" s="8"/>
      <c r="K278" s="8"/>
      <c r="L278" s="8"/>
      <c r="M278" s="87">
        <f t="shared" si="701"/>
        <v>0</v>
      </c>
      <c r="N278" s="77" t="str">
        <f t="shared" si="702"/>
        <v xml:space="preserve">   </v>
      </c>
      <c r="O278" s="87">
        <f>IF($A278&gt;'Debt Service'!M$58, 0, SUM(M278:M$295)*N278*M$63/M$64+SUM(M279:M$295)*(M$64-M$63)/M$64*N278)</f>
        <v>0</v>
      </c>
      <c r="P278" s="35"/>
      <c r="Q278" s="87">
        <f t="shared" si="703"/>
        <v>0</v>
      </c>
      <c r="R278" s="77" t="str">
        <f t="shared" si="704"/>
        <v xml:space="preserve">   </v>
      </c>
      <c r="S278" s="87">
        <f>IF($A278&gt;'Debt Service'!Q$58, 0, SUM(Q278:Q$295)*R278*Q$63/Q$64+SUM(Q279:Q$295)*(Q$64-Q$63)/Q$64*R278)</f>
        <v>0</v>
      </c>
      <c r="T278" s="35"/>
      <c r="U278" s="87">
        <f t="shared" si="705"/>
        <v>0</v>
      </c>
      <c r="V278" s="35">
        <f t="shared" si="706"/>
        <v>0</v>
      </c>
      <c r="W278" s="2"/>
      <c r="X278" s="87">
        <f t="shared" si="707"/>
        <v>0</v>
      </c>
      <c r="Y278" s="77" t="str">
        <f t="shared" si="708"/>
        <v xml:space="preserve">   </v>
      </c>
      <c r="Z278" s="87">
        <f>IF($A278&gt;'Debt Service'!X$58, 0, SUM(X278:X$295)*Y278*X$63/X$64+SUM(X279:X$295)*(X$64-X$63)/X$64*Y278)</f>
        <v>0</v>
      </c>
      <c r="AA278" s="87"/>
      <c r="AB278" s="87">
        <f t="shared" si="709"/>
        <v>0</v>
      </c>
      <c r="AC278" s="77">
        <f t="shared" si="710"/>
        <v>4.3000000000000003E-2</v>
      </c>
      <c r="AD278" s="87">
        <f>(SUM(AB278:AB$295)*AC278*AB$63/AB$64+SUM(AB279:AB$295)*(AB$64-AB$63)/AB$64*AC278)</f>
        <v>0</v>
      </c>
      <c r="AE278" s="35"/>
      <c r="AF278" s="87">
        <f t="shared" si="711"/>
        <v>0</v>
      </c>
      <c r="AG278" s="77">
        <f t="shared" si="712"/>
        <v>4.3000000000000003E-2</v>
      </c>
      <c r="AH278" s="87">
        <f>(SUM(AF278:AF$295)*AG278*AF$63/AF$64+SUM(AF279:AF$295)*(AF$64-AF$63)/AF$64*AG278)</f>
        <v>0</v>
      </c>
      <c r="AI278" s="35"/>
      <c r="AJ278" s="87">
        <f t="shared" si="713"/>
        <v>0</v>
      </c>
      <c r="AK278" s="77" t="str">
        <f t="shared" si="714"/>
        <v xml:space="preserve">   </v>
      </c>
      <c r="AL278" s="87">
        <f>IF($A278&gt;'Debt Service'!AJ$58, 0, SUM(AJ278:AJ$295)*AK278*AJ$63/AJ$64+SUM(AJ279:AJ$295)*(AJ$64-AJ$63)/AJ$64*AK278)</f>
        <v>0</v>
      </c>
      <c r="AM278" s="35"/>
      <c r="AN278" s="87">
        <f t="shared" si="715"/>
        <v>0</v>
      </c>
      <c r="AO278" s="77" t="str">
        <f t="shared" si="716"/>
        <v xml:space="preserve">   </v>
      </c>
      <c r="AP278" s="87">
        <f>IF($A278&gt;'Debt Service'!AN$58, 0, SUM(AN278:AN$295)*AO278*AN$63/AN$64+SUM(AN279:AN$295)*(AN$64-AN$63)/AN$64*AO278)</f>
        <v>0</v>
      </c>
      <c r="AQ278" s="35"/>
      <c r="AR278" s="87">
        <f t="shared" si="717"/>
        <v>0</v>
      </c>
      <c r="AS278" s="77" t="str">
        <f t="shared" si="718"/>
        <v xml:space="preserve">   </v>
      </c>
      <c r="AT278" s="87">
        <f>IF($A278&gt;'Debt Service'!AR$58, 0, SUM(AR278:AR$295)*AS278*AR$63/AR$64+SUM(AR279:AR$295)*(AR$64-AR$63)/AR$64*AS278)</f>
        <v>0</v>
      </c>
      <c r="AV278" s="35">
        <f t="shared" si="719"/>
        <v>0</v>
      </c>
      <c r="AW278" s="35">
        <f t="shared" si="720"/>
        <v>0</v>
      </c>
      <c r="AX278" s="35"/>
      <c r="AY278" s="87">
        <f t="shared" si="721"/>
        <v>0</v>
      </c>
      <c r="AZ278" s="77">
        <f t="shared" si="722"/>
        <v>4.3000000000000003E-2</v>
      </c>
      <c r="BA278" s="87">
        <f>(SUM(AY278:AY$295)*AZ278*AY$63/AY$64+SUM(AY279:AY$295)*(AY$64-AY$63)/AY$64*AZ278)</f>
        <v>0</v>
      </c>
      <c r="BB278" s="61"/>
      <c r="BC278" s="87">
        <f t="shared" si="723"/>
        <v>0</v>
      </c>
      <c r="BD278" s="77">
        <f t="shared" si="724"/>
        <v>4.3000000000000003E-2</v>
      </c>
      <c r="BE278" s="87">
        <f>IF($A278&gt;'Debt Service'!BC$58, 0, SUM(BC278:BC$295)*BD278*BC$63/BC$64+SUM(BC279:BC$295)*(BC$64-BC$63)/BC$64*BD278)</f>
        <v>1221243</v>
      </c>
      <c r="BF278" s="61"/>
      <c r="BG278" s="87">
        <f t="shared" si="725"/>
        <v>0</v>
      </c>
      <c r="BH278" s="77">
        <f t="shared" si="726"/>
        <v>4.3000000000000003E-2</v>
      </c>
      <c r="BI278" s="87">
        <f>IF($A278&gt;'Debt Service'!BG$58, 0, SUM(BG278:BG$295)*BH278*BG$63/BG$64+SUM(BG279:BG$295)*(BG$64-BG$63)/BG$64*BH278)</f>
        <v>3049431.0000000005</v>
      </c>
      <c r="BJ278" s="61"/>
      <c r="BK278" s="35">
        <f t="shared" si="761"/>
        <v>0</v>
      </c>
      <c r="BL278" s="35">
        <f t="shared" si="762"/>
        <v>4270674</v>
      </c>
      <c r="BM278" s="8"/>
      <c r="BN278" s="87">
        <f t="shared" si="727"/>
        <v>0</v>
      </c>
      <c r="BO278" s="77">
        <f t="shared" si="728"/>
        <v>4.3000000000000003E-2</v>
      </c>
      <c r="BP278" s="87">
        <f>(SUM(BN278:BN$295)*BO278*BN$63/BN$64+SUM(BN279:BN$295)*(BN$64-BN$63)/BN$64*BO278)</f>
        <v>0</v>
      </c>
      <c r="BQ278" s="77"/>
      <c r="BR278" s="87">
        <f t="shared" si="729"/>
        <v>0</v>
      </c>
      <c r="BS278" s="77">
        <f t="shared" si="730"/>
        <v>4.3000000000000003E-2</v>
      </c>
      <c r="BT278" s="87">
        <f>IF($A278&gt;'Debt Service'!BR$58, 0, SUM(BR278:BR$295)*BS278*BR$63/BR$64+SUM(BR279:BR$295)*(BR$64-BR$63)/BR$64*BS278)</f>
        <v>3077596.0000000009</v>
      </c>
      <c r="BU278" s="87"/>
      <c r="BV278" s="35">
        <f t="shared" si="763"/>
        <v>0</v>
      </c>
      <c r="BW278" s="35">
        <f t="shared" si="764"/>
        <v>3077596.0000000009</v>
      </c>
      <c r="BX278" s="87"/>
      <c r="BY278" s="87"/>
      <c r="BZ278" s="77">
        <f t="shared" si="732"/>
        <v>4.3000000000000003E-2</v>
      </c>
      <c r="CA278" s="87">
        <f>(SUM(BY278:BY$295)*BZ278*BY$63/BY$64+SUM(BY279:BY$295)*(BY$64-BY$63)/BY$64*BZ278)</f>
        <v>0</v>
      </c>
      <c r="CB278" s="87"/>
      <c r="CC278" s="87">
        <f t="shared" si="733"/>
        <v>0</v>
      </c>
      <c r="CD278" s="77">
        <f t="shared" si="734"/>
        <v>4.3000000000000003E-2</v>
      </c>
      <c r="CE278" s="87">
        <f>IF(OR($A278&gt;'Debt Service'!CC$58,$A278&lt;CC$51), 0, SUM(CC278:CC$295)*CD278*CC$63/CC$64+SUM(CC279:CC$295)*(CC$64-CC$63)/CC$64*CD278)</f>
        <v>0</v>
      </c>
      <c r="CF278" s="87"/>
      <c r="CG278" s="87">
        <f t="shared" si="735"/>
        <v>0</v>
      </c>
      <c r="CH278" s="77">
        <f t="shared" si="736"/>
        <v>4.3000000000000003E-2</v>
      </c>
      <c r="CI278" s="87">
        <f>IF(OR($A278&gt;'Debt Service'!CG$58,$A278&lt;CG$51), 0, SUM(CG278:CG$295)*CH278*CG$63/CG$64+SUM(CG279:CG$295)*(CG$64-CG$63)/CG$64*CH278)</f>
        <v>3088389</v>
      </c>
      <c r="CJ278" s="87"/>
      <c r="CK278" s="87">
        <f t="shared" si="737"/>
        <v>0</v>
      </c>
      <c r="CL278" s="77">
        <f t="shared" si="738"/>
        <v>4.3000000000000003E-2</v>
      </c>
      <c r="CM278" s="87">
        <f>IF(OR($A278&gt;'Debt Service'!CK$58,$A278&lt;CK$51), 0, SUM(CK278:CK$295)*CL278*CK$63/CK$64+SUM(CK279:CK$295)*(CK$64-CK$63)/CK$64*CL278)</f>
        <v>3085379</v>
      </c>
      <c r="CN278" s="87"/>
      <c r="CO278" s="162">
        <f t="shared" si="739"/>
        <v>0</v>
      </c>
      <c r="CP278" s="87">
        <f t="shared" si="740"/>
        <v>6173768</v>
      </c>
      <c r="CQ278" s="87"/>
      <c r="CR278" s="87">
        <f t="shared" si="741"/>
        <v>0</v>
      </c>
      <c r="CS278" s="77">
        <f t="shared" si="742"/>
        <v>4.3000000000000003E-2</v>
      </c>
      <c r="CT278" s="87">
        <f>IF(OR($A278&gt;'Debt Service'!CR$58,$A278&lt;CR$51), 0, SUM(CR278:CR$295)*CS278*CR$63/CR$64+SUM(CR279:CR$295)*(CR$64-CR$63)/CR$64*CS278)</f>
        <v>0</v>
      </c>
      <c r="CU278" s="87"/>
      <c r="CV278" s="87">
        <f t="shared" si="743"/>
        <v>0</v>
      </c>
      <c r="CW278" s="77">
        <f t="shared" si="744"/>
        <v>4.3000000000000003E-2</v>
      </c>
      <c r="CX278" s="87">
        <f>IF(OR($A278&gt;'Debt Service'!CV$58,$A278&lt;CV$51), 0, SUM(CV278:CV$295)*CW278*CV$63/CV$64+SUM(CV279:CV$295)*(CV$64-CV$63)/CV$64*CW278)</f>
        <v>3079703</v>
      </c>
      <c r="CY278" s="87"/>
      <c r="CZ278" s="165">
        <f t="shared" si="745"/>
        <v>0</v>
      </c>
      <c r="DA278" s="165">
        <f t="shared" si="746"/>
        <v>3079703</v>
      </c>
      <c r="DB278" s="87"/>
      <c r="DC278" s="87">
        <f t="shared" si="747"/>
        <v>0</v>
      </c>
      <c r="DD278" s="77">
        <f t="shared" si="748"/>
        <v>4.3000000000000003E-2</v>
      </c>
      <c r="DE278" s="87">
        <f>IF($A278&gt;'Debt Service'!DC$58, 0, SUM(DC278:DC$295)*DD278*DC$63/DC$64+SUM(DC279:DC$295)*(DC$64-DC$63)/DC$64*DD278)</f>
        <v>0</v>
      </c>
      <c r="DF278" s="87"/>
      <c r="DG278" s="87">
        <f t="shared" si="749"/>
        <v>0</v>
      </c>
      <c r="DH278" s="77">
        <f t="shared" si="750"/>
        <v>4.3000000000000003E-2</v>
      </c>
      <c r="DI278" s="87">
        <f>IF($A278&gt;'Debt Service'!DG$58, 0, SUM(DG278:DG$295)*DH278*DG$63/DG$64+SUM(DG279:DG$295)*(DG$64-DG$63)/DG$64*DH278)</f>
        <v>0</v>
      </c>
      <c r="DJ278" s="87"/>
      <c r="DK278" s="87">
        <f t="shared" si="751"/>
        <v>0</v>
      </c>
      <c r="DL278" s="77">
        <f t="shared" si="752"/>
        <v>4.3000000000000003E-2</v>
      </c>
      <c r="DM278" s="87">
        <f>IF($A278&gt;'Debt Service'!DK$58, 0, SUM(DK278:DK$295)*DL278*DK$63/DK$64+SUM(DK279:DK$295)*(DK$64-DK$63)/DK$64*DL278)</f>
        <v>0</v>
      </c>
      <c r="DN278" s="87"/>
      <c r="DO278" s="87">
        <f t="shared" si="753"/>
        <v>0</v>
      </c>
      <c r="DP278" s="77">
        <f t="shared" si="754"/>
        <v>4.3000000000000003E-2</v>
      </c>
      <c r="DQ278" s="87">
        <f>IF($A278&gt;'Debt Service'!DO$58, 0, SUM(DO278:DO$295)*DP278*DO$63/DO$64+SUM(DO279:DO$295)*(DO$64-DO$63)/DO$64*DP278)</f>
        <v>0</v>
      </c>
      <c r="DR278" s="87"/>
      <c r="DS278" s="87">
        <f t="shared" si="755"/>
        <v>0</v>
      </c>
      <c r="DT278" s="77">
        <f t="shared" si="756"/>
        <v>4.3000000000000003E-2</v>
      </c>
      <c r="DU278" s="87">
        <f>IF($A278&gt;'Debt Service'!DS$58, 0, SUM(DS278:DS$295)*DT278*DS$63/DS$64+SUM(DS279:DS$295)*(DS$64-DS$63)/DS$64*DT278)</f>
        <v>0</v>
      </c>
      <c r="DV278" s="87"/>
      <c r="DW278" s="165">
        <f t="shared" si="765"/>
        <v>0</v>
      </c>
      <c r="DX278" s="165">
        <f t="shared" si="766"/>
        <v>16601741</v>
      </c>
      <c r="DY278" s="87"/>
      <c r="DZ278" s="53">
        <f t="shared" si="757"/>
        <v>2043</v>
      </c>
      <c r="EA278" s="35">
        <f t="shared" si="758"/>
        <v>0</v>
      </c>
      <c r="EB278" s="35">
        <f t="shared" si="759"/>
        <v>16601741</v>
      </c>
      <c r="EC278" s="77">
        <f>IF($A278&gt;2042, VLOOKUP($A278, Assumptions!$A$8:$D$44, Assumptions!$D$1, FALSE) +'Debt Service'!DS$307, MAX(EB278/SUM(EA278:EA$295), EC279))</f>
        <v>4.3000000000000003E-2</v>
      </c>
      <c r="ED278" s="172">
        <f t="shared" si="767"/>
        <v>20</v>
      </c>
      <c r="EE278" s="61"/>
    </row>
    <row r="279" spans="1:135" s="33" customFormat="1" outlineLevel="1">
      <c r="A279" s="7">
        <f t="shared" si="760"/>
        <v>2044</v>
      </c>
      <c r="B279" s="151">
        <f>Assumptions!B28</f>
        <v>5.3800000000000001E-2</v>
      </c>
      <c r="C279" s="151">
        <f>Assumptions!C28</f>
        <v>5.3800000000000001E-2</v>
      </c>
      <c r="D279" s="151">
        <f>Assumptions!D28</f>
        <v>3.5000000000000003E-2</v>
      </c>
      <c r="E279" s="151">
        <f>Assumptions!E28</f>
        <v>5.2999999999999999E-2</v>
      </c>
      <c r="F279" s="8"/>
      <c r="G279" s="8"/>
      <c r="H279" s="8"/>
      <c r="I279" s="8"/>
      <c r="J279" s="8"/>
      <c r="K279" s="8"/>
      <c r="L279" s="8"/>
      <c r="M279" s="87">
        <f t="shared" si="701"/>
        <v>0</v>
      </c>
      <c r="N279" s="77" t="str">
        <f t="shared" si="702"/>
        <v xml:space="preserve">   </v>
      </c>
      <c r="O279" s="87">
        <f>IF($A279&gt;'Debt Service'!M$58, 0, SUM(M279:M$295)*N279*M$63/M$64+SUM(M280:M$295)*(M$64-M$63)/M$64*N279)</f>
        <v>0</v>
      </c>
      <c r="P279" s="35"/>
      <c r="Q279" s="87">
        <f t="shared" si="703"/>
        <v>0</v>
      </c>
      <c r="R279" s="77" t="str">
        <f t="shared" si="704"/>
        <v xml:space="preserve">   </v>
      </c>
      <c r="S279" s="87">
        <f>IF($A279&gt;'Debt Service'!Q$58, 0, SUM(Q279:Q$295)*R279*Q$63/Q$64+SUM(Q280:Q$295)*(Q$64-Q$63)/Q$64*R279)</f>
        <v>0</v>
      </c>
      <c r="T279" s="35"/>
      <c r="U279" s="87">
        <f t="shared" si="705"/>
        <v>0</v>
      </c>
      <c r="V279" s="35">
        <f t="shared" si="706"/>
        <v>0</v>
      </c>
      <c r="W279" s="35"/>
      <c r="X279" s="87">
        <f t="shared" si="707"/>
        <v>0</v>
      </c>
      <c r="Y279" s="77" t="str">
        <f t="shared" si="708"/>
        <v xml:space="preserve">   </v>
      </c>
      <c r="Z279" s="87">
        <f>IF($A279&gt;'Debt Service'!X$58, 0, SUM(X279:X$295)*Y279*X$63/X$64+SUM(X280:X$295)*(X$64-X$63)/X$64*Y279)</f>
        <v>0</v>
      </c>
      <c r="AA279" s="87"/>
      <c r="AB279" s="87">
        <f t="shared" si="709"/>
        <v>0</v>
      </c>
      <c r="AC279" s="77">
        <f t="shared" si="710"/>
        <v>4.3000000000000003E-2</v>
      </c>
      <c r="AD279" s="87">
        <f>(SUM(AB279:AB$295)*AC279*AB$63/AB$64+SUM(AB280:AB$295)*(AB$64-AB$63)/AB$64*AC279)</f>
        <v>0</v>
      </c>
      <c r="AE279" s="35"/>
      <c r="AF279" s="87">
        <f t="shared" si="711"/>
        <v>0</v>
      </c>
      <c r="AG279" s="77">
        <f t="shared" si="712"/>
        <v>4.3000000000000003E-2</v>
      </c>
      <c r="AH279" s="87">
        <f>(SUM(AF279:AF$295)*AG279*AF$63/AF$64+SUM(AF280:AF$295)*(AF$64-AF$63)/AF$64*AG279)</f>
        <v>0</v>
      </c>
      <c r="AI279" s="35"/>
      <c r="AJ279" s="87">
        <f t="shared" si="713"/>
        <v>0</v>
      </c>
      <c r="AK279" s="77" t="str">
        <f t="shared" si="714"/>
        <v xml:space="preserve">   </v>
      </c>
      <c r="AL279" s="87">
        <f>IF($A279&gt;'Debt Service'!AJ$58, 0, SUM(AJ279:AJ$295)*AK279*AJ$63/AJ$64+SUM(AJ280:AJ$295)*(AJ$64-AJ$63)/AJ$64*AK279)</f>
        <v>0</v>
      </c>
      <c r="AM279" s="35"/>
      <c r="AN279" s="87">
        <f t="shared" si="715"/>
        <v>0</v>
      </c>
      <c r="AO279" s="77" t="str">
        <f t="shared" si="716"/>
        <v xml:space="preserve">   </v>
      </c>
      <c r="AP279" s="87">
        <f>IF($A279&gt;'Debt Service'!AN$58, 0, SUM(AN279:AN$295)*AO279*AN$63/AN$64+SUM(AN280:AN$295)*(AN$64-AN$63)/AN$64*AO279)</f>
        <v>0</v>
      </c>
      <c r="AQ279" s="35"/>
      <c r="AR279" s="87">
        <f t="shared" si="717"/>
        <v>0</v>
      </c>
      <c r="AS279" s="77" t="str">
        <f t="shared" si="718"/>
        <v xml:space="preserve">   </v>
      </c>
      <c r="AT279" s="87">
        <f>IF($A279&gt;'Debt Service'!AR$58, 0, SUM(AR279:AR$295)*AS279*AR$63/AR$64+SUM(AR280:AR$295)*(AR$64-AR$63)/AR$64*AS279)</f>
        <v>0</v>
      </c>
      <c r="AV279" s="35">
        <f t="shared" si="719"/>
        <v>0</v>
      </c>
      <c r="AW279" s="35">
        <f t="shared" si="720"/>
        <v>0</v>
      </c>
      <c r="AX279" s="35"/>
      <c r="AY279" s="87">
        <f t="shared" si="721"/>
        <v>0</v>
      </c>
      <c r="AZ279" s="77">
        <f t="shared" si="722"/>
        <v>4.3000000000000003E-2</v>
      </c>
      <c r="BA279" s="87">
        <f>(SUM(AY279:AY$295)*AZ279*AY$63/AY$64+SUM(AY280:AY$295)*(AY$64-AY$63)/AY$64*AZ279)</f>
        <v>0</v>
      </c>
      <c r="BB279" s="61"/>
      <c r="BC279" s="87">
        <f t="shared" si="723"/>
        <v>0</v>
      </c>
      <c r="BD279" s="77">
        <f t="shared" si="724"/>
        <v>4.3000000000000003E-2</v>
      </c>
      <c r="BE279" s="87">
        <f>IF($A279&gt;'Debt Service'!BC$58, 0, SUM(BC279:BC$295)*BD279*BC$63/BC$64+SUM(BC280:BC$295)*(BC$64-BC$63)/BC$64*BD279)</f>
        <v>1221243</v>
      </c>
      <c r="BF279" s="61"/>
      <c r="BG279" s="87">
        <f t="shared" si="725"/>
        <v>0</v>
      </c>
      <c r="BH279" s="77">
        <f t="shared" si="726"/>
        <v>4.3000000000000003E-2</v>
      </c>
      <c r="BI279" s="87">
        <f>IF($A279&gt;'Debt Service'!BG$58, 0, SUM(BG279:BG$295)*BH279*BG$63/BG$64+SUM(BG280:BG$295)*(BG$64-BG$63)/BG$64*BH279)</f>
        <v>3049431.0000000005</v>
      </c>
      <c r="BJ279" s="61"/>
      <c r="BK279" s="35">
        <f t="shared" si="761"/>
        <v>0</v>
      </c>
      <c r="BL279" s="35">
        <f t="shared" si="762"/>
        <v>4270674</v>
      </c>
      <c r="BM279" s="8"/>
      <c r="BN279" s="87">
        <f t="shared" si="727"/>
        <v>0</v>
      </c>
      <c r="BO279" s="77">
        <f t="shared" si="728"/>
        <v>4.3000000000000003E-2</v>
      </c>
      <c r="BP279" s="87">
        <f>(SUM(BN279:BN$295)*BO279*BN$63/BN$64+SUM(BN280:BN$295)*(BN$64-BN$63)/BN$64*BO279)</f>
        <v>0</v>
      </c>
      <c r="BQ279" s="77"/>
      <c r="BR279" s="87">
        <f t="shared" si="729"/>
        <v>0</v>
      </c>
      <c r="BS279" s="77">
        <f t="shared" si="730"/>
        <v>4.3000000000000003E-2</v>
      </c>
      <c r="BT279" s="87">
        <f>IF($A279&gt;'Debt Service'!BR$58, 0, SUM(BR279:BR$295)*BS279*BR$63/BR$64+SUM(BR280:BR$295)*(BR$64-BR$63)/BR$64*BS279)</f>
        <v>3077596.0000000009</v>
      </c>
      <c r="BU279" s="87"/>
      <c r="BV279" s="35">
        <f t="shared" si="763"/>
        <v>0</v>
      </c>
      <c r="BW279" s="35">
        <f t="shared" si="764"/>
        <v>3077596.0000000009</v>
      </c>
      <c r="BX279" s="87"/>
      <c r="BY279" s="87"/>
      <c r="BZ279" s="77">
        <f t="shared" si="732"/>
        <v>4.3000000000000003E-2</v>
      </c>
      <c r="CA279" s="87">
        <f>(SUM(BY279:BY$295)*BZ279*BY$63/BY$64+SUM(BY280:BY$295)*(BY$64-BY$63)/BY$64*BZ279)</f>
        <v>0</v>
      </c>
      <c r="CB279" s="87"/>
      <c r="CC279" s="87">
        <f t="shared" si="733"/>
        <v>0</v>
      </c>
      <c r="CD279" s="77">
        <f t="shared" si="734"/>
        <v>4.3000000000000003E-2</v>
      </c>
      <c r="CE279" s="87">
        <f>IF(OR($A279&gt;'Debt Service'!CC$58,$A279&lt;CC$51), 0, SUM(CC279:CC$295)*CD279*CC$63/CC$64+SUM(CC280:CC$295)*(CC$64-CC$63)/CC$64*CD279)</f>
        <v>0</v>
      </c>
      <c r="CF279" s="87"/>
      <c r="CG279" s="87">
        <f t="shared" si="735"/>
        <v>0</v>
      </c>
      <c r="CH279" s="77">
        <f t="shared" si="736"/>
        <v>4.3000000000000003E-2</v>
      </c>
      <c r="CI279" s="87">
        <f>IF(OR($A279&gt;'Debt Service'!CG$58,$A279&lt;CG$51), 0, SUM(CG279:CG$295)*CH279*CG$63/CG$64+SUM(CG280:CG$295)*(CG$64-CG$63)/CG$64*CH279)</f>
        <v>3088389</v>
      </c>
      <c r="CJ279" s="87"/>
      <c r="CK279" s="87">
        <f t="shared" si="737"/>
        <v>0</v>
      </c>
      <c r="CL279" s="77">
        <f t="shared" si="738"/>
        <v>4.3000000000000003E-2</v>
      </c>
      <c r="CM279" s="87">
        <f>IF(OR($A279&gt;'Debt Service'!CK$58,$A279&lt;CK$51), 0, SUM(CK279:CK$295)*CL279*CK$63/CK$64+SUM(CK280:CK$295)*(CK$64-CK$63)/CK$64*CL279)</f>
        <v>3085379</v>
      </c>
      <c r="CN279" s="87"/>
      <c r="CO279" s="162">
        <f t="shared" si="739"/>
        <v>0</v>
      </c>
      <c r="CP279" s="87">
        <f t="shared" si="740"/>
        <v>6173768</v>
      </c>
      <c r="CQ279" s="87"/>
      <c r="CR279" s="87">
        <f t="shared" si="741"/>
        <v>0</v>
      </c>
      <c r="CS279" s="77">
        <f t="shared" si="742"/>
        <v>4.3000000000000003E-2</v>
      </c>
      <c r="CT279" s="87">
        <f>IF(OR($A279&gt;'Debt Service'!CR$58,$A279&lt;CR$51), 0, SUM(CR279:CR$295)*CS279*CR$63/CR$64+SUM(CR280:CR$295)*(CR$64-CR$63)/CR$64*CS279)</f>
        <v>0</v>
      </c>
      <c r="CU279" s="87"/>
      <c r="CV279" s="87">
        <f t="shared" si="743"/>
        <v>0</v>
      </c>
      <c r="CW279" s="77">
        <f t="shared" si="744"/>
        <v>4.3000000000000003E-2</v>
      </c>
      <c r="CX279" s="87">
        <f>IF(OR($A279&gt;'Debt Service'!CV$58,$A279&lt;CV$51), 0, SUM(CV279:CV$295)*CW279*CV$63/CV$64+SUM(CV280:CV$295)*(CV$64-CV$63)/CV$64*CW279)</f>
        <v>3079703</v>
      </c>
      <c r="CY279" s="87"/>
      <c r="CZ279" s="165">
        <f t="shared" si="745"/>
        <v>0</v>
      </c>
      <c r="DA279" s="165">
        <f t="shared" si="746"/>
        <v>3079703</v>
      </c>
      <c r="DB279" s="87"/>
      <c r="DC279" s="87">
        <f t="shared" si="747"/>
        <v>0</v>
      </c>
      <c r="DD279" s="77">
        <f t="shared" si="748"/>
        <v>4.3000000000000003E-2</v>
      </c>
      <c r="DE279" s="87">
        <f>IF($A279&gt;'Debt Service'!DC$58, 0, SUM(DC279:DC$295)*DD279*DC$63/DC$64+SUM(DC280:DC$295)*(DC$64-DC$63)/DC$64*DD279)</f>
        <v>0</v>
      </c>
      <c r="DF279" s="87"/>
      <c r="DG279" s="87">
        <f t="shared" si="749"/>
        <v>0</v>
      </c>
      <c r="DH279" s="77">
        <f t="shared" si="750"/>
        <v>4.3000000000000003E-2</v>
      </c>
      <c r="DI279" s="87">
        <f>IF($A279&gt;'Debt Service'!DG$58, 0, SUM(DG279:DG$295)*DH279*DG$63/DG$64+SUM(DG280:DG$295)*(DG$64-DG$63)/DG$64*DH279)</f>
        <v>0</v>
      </c>
      <c r="DJ279" s="87"/>
      <c r="DK279" s="87">
        <f t="shared" si="751"/>
        <v>0</v>
      </c>
      <c r="DL279" s="77">
        <f t="shared" si="752"/>
        <v>4.3000000000000003E-2</v>
      </c>
      <c r="DM279" s="87">
        <f>IF($A279&gt;'Debt Service'!DK$58, 0, SUM(DK279:DK$295)*DL279*DK$63/DK$64+SUM(DK280:DK$295)*(DK$64-DK$63)/DK$64*DL279)</f>
        <v>0</v>
      </c>
      <c r="DN279" s="87"/>
      <c r="DO279" s="87">
        <f t="shared" si="753"/>
        <v>0</v>
      </c>
      <c r="DP279" s="77">
        <f t="shared" si="754"/>
        <v>4.3000000000000003E-2</v>
      </c>
      <c r="DQ279" s="87">
        <f>IF($A279&gt;'Debt Service'!DO$58, 0, SUM(DO279:DO$295)*DP279*DO$63/DO$64+SUM(DO280:DO$295)*(DO$64-DO$63)/DO$64*DP279)</f>
        <v>0</v>
      </c>
      <c r="DR279" s="87"/>
      <c r="DS279" s="87">
        <f t="shared" si="755"/>
        <v>0</v>
      </c>
      <c r="DT279" s="77">
        <f t="shared" si="756"/>
        <v>4.3000000000000003E-2</v>
      </c>
      <c r="DU279" s="87">
        <f>IF($A279&gt;'Debt Service'!DS$58, 0, SUM(DS279:DS$295)*DT279*DS$63/DS$64+SUM(DS280:DS$295)*(DS$64-DS$63)/DS$64*DT279)</f>
        <v>0</v>
      </c>
      <c r="DV279" s="87"/>
      <c r="DW279" s="165">
        <f t="shared" si="765"/>
        <v>0</v>
      </c>
      <c r="DX279" s="165">
        <f t="shared" si="766"/>
        <v>16601741</v>
      </c>
      <c r="DY279" s="87"/>
      <c r="DZ279" s="53">
        <f t="shared" si="757"/>
        <v>2044</v>
      </c>
      <c r="EA279" s="35">
        <f t="shared" si="758"/>
        <v>0</v>
      </c>
      <c r="EB279" s="35">
        <f t="shared" si="759"/>
        <v>16601741</v>
      </c>
      <c r="EC279" s="77">
        <f>IF($A279&gt;2042, VLOOKUP($A279, Assumptions!$A$8:$D$44, Assumptions!$D$1, FALSE) +'Debt Service'!DS$307, MAX(EB279/SUM(EA279:EA$295), EC280))</f>
        <v>4.3000000000000003E-2</v>
      </c>
      <c r="ED279" s="172">
        <f t="shared" si="767"/>
        <v>21</v>
      </c>
      <c r="EE279" s="61"/>
    </row>
    <row r="280" spans="1:135" s="33" customFormat="1" outlineLevel="1">
      <c r="A280" s="7">
        <f t="shared" si="760"/>
        <v>2045</v>
      </c>
      <c r="B280" s="151">
        <f>Assumptions!B29</f>
        <v>5.3800000000000001E-2</v>
      </c>
      <c r="C280" s="151">
        <f>Assumptions!C29</f>
        <v>5.3800000000000001E-2</v>
      </c>
      <c r="D280" s="151">
        <f>Assumptions!D29</f>
        <v>3.5000000000000003E-2</v>
      </c>
      <c r="E280" s="151">
        <f>Assumptions!E29</f>
        <v>5.2999999999999999E-2</v>
      </c>
      <c r="F280" s="8"/>
      <c r="G280" s="8"/>
      <c r="H280" s="8"/>
      <c r="I280" s="8"/>
      <c r="J280" s="8"/>
      <c r="K280" s="8"/>
      <c r="L280" s="8"/>
      <c r="M280" s="87">
        <f t="shared" si="701"/>
        <v>0</v>
      </c>
      <c r="N280" s="77" t="str">
        <f t="shared" si="702"/>
        <v xml:space="preserve">   </v>
      </c>
      <c r="O280" s="87">
        <f>IF($A280&gt;'Debt Service'!M$58, 0, SUM(M280:M$295)*N280*M$63/M$64+SUM(M281:M$295)*(M$64-M$63)/M$64*N280)</f>
        <v>0</v>
      </c>
      <c r="P280" s="35"/>
      <c r="Q280" s="87">
        <f t="shared" si="703"/>
        <v>0</v>
      </c>
      <c r="R280" s="77" t="str">
        <f t="shared" si="704"/>
        <v xml:space="preserve">   </v>
      </c>
      <c r="S280" s="87">
        <f>IF($A280&gt;'Debt Service'!Q$58, 0, SUM(Q280:Q$295)*R280*Q$63/Q$64+SUM(Q281:Q$295)*(Q$64-Q$63)/Q$64*R280)</f>
        <v>0</v>
      </c>
      <c r="T280" s="35"/>
      <c r="U280" s="87">
        <f t="shared" si="705"/>
        <v>0</v>
      </c>
      <c r="V280" s="35">
        <f t="shared" si="706"/>
        <v>0</v>
      </c>
      <c r="W280" s="35"/>
      <c r="X280" s="87">
        <f t="shared" si="707"/>
        <v>0</v>
      </c>
      <c r="Y280" s="77" t="str">
        <f t="shared" si="708"/>
        <v xml:space="preserve">   </v>
      </c>
      <c r="Z280" s="87">
        <f>IF($A280&gt;'Debt Service'!X$58, 0, SUM(X280:X$295)*Y280*X$63/X$64+SUM(X281:X$295)*(X$64-X$63)/X$64*Y280)</f>
        <v>0</v>
      </c>
      <c r="AA280" s="87"/>
      <c r="AB280" s="87">
        <f t="shared" si="709"/>
        <v>0</v>
      </c>
      <c r="AC280" s="77">
        <f t="shared" si="710"/>
        <v>4.3000000000000003E-2</v>
      </c>
      <c r="AD280" s="87">
        <f>(SUM(AB280:AB$295)*AC280*AB$63/AB$64+SUM(AB281:AB$295)*(AB$64-AB$63)/AB$64*AC280)</f>
        <v>0</v>
      </c>
      <c r="AE280" s="35"/>
      <c r="AF280" s="87">
        <f t="shared" si="711"/>
        <v>0</v>
      </c>
      <c r="AG280" s="77">
        <f t="shared" si="712"/>
        <v>4.3000000000000003E-2</v>
      </c>
      <c r="AH280" s="87">
        <f>(SUM(AF280:AF$295)*AG280*AF$63/AF$64+SUM(AF281:AF$295)*(AF$64-AF$63)/AF$64*AG280)</f>
        <v>0</v>
      </c>
      <c r="AI280" s="35"/>
      <c r="AJ280" s="87">
        <f t="shared" si="713"/>
        <v>0</v>
      </c>
      <c r="AK280" s="77" t="str">
        <f t="shared" si="714"/>
        <v xml:space="preserve">   </v>
      </c>
      <c r="AL280" s="87">
        <f>IF($A280&gt;'Debt Service'!AJ$58, 0, SUM(AJ280:AJ$295)*AK280*AJ$63/AJ$64+SUM(AJ281:AJ$295)*(AJ$64-AJ$63)/AJ$64*AK280)</f>
        <v>0</v>
      </c>
      <c r="AM280" s="35"/>
      <c r="AN280" s="87">
        <f t="shared" si="715"/>
        <v>0</v>
      </c>
      <c r="AO280" s="77" t="str">
        <f t="shared" si="716"/>
        <v xml:space="preserve">   </v>
      </c>
      <c r="AP280" s="87">
        <f>IF($A280&gt;'Debt Service'!AN$58, 0, SUM(AN280:AN$295)*AO280*AN$63/AN$64+SUM(AN281:AN$295)*(AN$64-AN$63)/AN$64*AO280)</f>
        <v>0</v>
      </c>
      <c r="AQ280" s="35"/>
      <c r="AR280" s="87">
        <f t="shared" si="717"/>
        <v>0</v>
      </c>
      <c r="AS280" s="77" t="str">
        <f t="shared" si="718"/>
        <v xml:space="preserve">   </v>
      </c>
      <c r="AT280" s="87">
        <f>IF($A280&gt;'Debt Service'!AR$58, 0, SUM(AR280:AR$295)*AS280*AR$63/AR$64+SUM(AR281:AR$295)*(AR$64-AR$63)/AR$64*AS280)</f>
        <v>0</v>
      </c>
      <c r="AV280" s="35">
        <f t="shared" si="719"/>
        <v>0</v>
      </c>
      <c r="AW280" s="35">
        <f t="shared" si="720"/>
        <v>0</v>
      </c>
      <c r="AX280" s="35"/>
      <c r="AY280" s="87">
        <f t="shared" si="721"/>
        <v>0</v>
      </c>
      <c r="AZ280" s="77">
        <f t="shared" si="722"/>
        <v>4.3000000000000003E-2</v>
      </c>
      <c r="BA280" s="87">
        <f>(SUM(AY280:AY$295)*AZ280*AY$63/AY$64+SUM(AY281:AY$295)*(AY$64-AY$63)/AY$64*AZ280)</f>
        <v>0</v>
      </c>
      <c r="BB280" s="61"/>
      <c r="BC280" s="87">
        <f t="shared" si="723"/>
        <v>0</v>
      </c>
      <c r="BD280" s="77">
        <f t="shared" si="724"/>
        <v>4.3000000000000003E-2</v>
      </c>
      <c r="BE280" s="87">
        <f>IF($A280&gt;'Debt Service'!BC$58, 0, SUM(BC280:BC$295)*BD280*BC$63/BC$64+SUM(BC281:BC$295)*(BC$64-BC$63)/BC$64*BD280)</f>
        <v>1221243</v>
      </c>
      <c r="BF280" s="61"/>
      <c r="BG280" s="87">
        <f t="shared" si="725"/>
        <v>0</v>
      </c>
      <c r="BH280" s="77">
        <f t="shared" si="726"/>
        <v>4.3000000000000003E-2</v>
      </c>
      <c r="BI280" s="87">
        <f>IF($A280&gt;'Debt Service'!BG$58, 0, SUM(BG280:BG$295)*BH280*BG$63/BG$64+SUM(BG281:BG$295)*(BG$64-BG$63)/BG$64*BH280)</f>
        <v>3049431.0000000005</v>
      </c>
      <c r="BJ280" s="61"/>
      <c r="BK280" s="35">
        <f t="shared" si="761"/>
        <v>0</v>
      </c>
      <c r="BL280" s="35">
        <f t="shared" si="762"/>
        <v>4270674</v>
      </c>
      <c r="BM280" s="8"/>
      <c r="BN280" s="87">
        <f t="shared" si="727"/>
        <v>0</v>
      </c>
      <c r="BO280" s="77">
        <f t="shared" si="728"/>
        <v>4.3000000000000003E-2</v>
      </c>
      <c r="BP280" s="87">
        <f>(SUM(BN280:BN$295)*BO280*BN$63/BN$64+SUM(BN281:BN$295)*(BN$64-BN$63)/BN$64*BO280)</f>
        <v>0</v>
      </c>
      <c r="BQ280" s="77"/>
      <c r="BR280" s="87">
        <f t="shared" si="729"/>
        <v>0</v>
      </c>
      <c r="BS280" s="77">
        <f t="shared" si="730"/>
        <v>4.3000000000000003E-2</v>
      </c>
      <c r="BT280" s="87">
        <f>IF($A280&gt;'Debt Service'!BR$58, 0, SUM(BR280:BR$295)*BS280*BR$63/BR$64+SUM(BR281:BR$295)*(BR$64-BR$63)/BR$64*BS280)</f>
        <v>3077596.0000000009</v>
      </c>
      <c r="BU280" s="87"/>
      <c r="BV280" s="35">
        <f t="shared" si="763"/>
        <v>0</v>
      </c>
      <c r="BW280" s="35">
        <f t="shared" si="764"/>
        <v>3077596.0000000009</v>
      </c>
      <c r="BX280" s="87"/>
      <c r="BY280" s="87"/>
      <c r="BZ280" s="77">
        <f t="shared" si="732"/>
        <v>4.3000000000000003E-2</v>
      </c>
      <c r="CA280" s="87">
        <f>(SUM(BY280:BY$295)*BZ280*BY$63/BY$64+SUM(BY281:BY$295)*(BY$64-BY$63)/BY$64*BZ280)</f>
        <v>0</v>
      </c>
      <c r="CB280" s="87"/>
      <c r="CC280" s="87">
        <f t="shared" si="733"/>
        <v>0</v>
      </c>
      <c r="CD280" s="77">
        <f t="shared" si="734"/>
        <v>4.3000000000000003E-2</v>
      </c>
      <c r="CE280" s="87">
        <f>IF(OR($A280&gt;'Debt Service'!CC$58,$A280&lt;CC$51), 0, SUM(CC280:CC$295)*CD280*CC$63/CC$64+SUM(CC281:CC$295)*(CC$64-CC$63)/CC$64*CD280)</f>
        <v>0</v>
      </c>
      <c r="CF280" s="87"/>
      <c r="CG280" s="87">
        <f t="shared" si="735"/>
        <v>0</v>
      </c>
      <c r="CH280" s="77">
        <f t="shared" si="736"/>
        <v>4.3000000000000003E-2</v>
      </c>
      <c r="CI280" s="87">
        <f>IF(OR($A280&gt;'Debt Service'!CG$58,$A280&lt;CG$51), 0, SUM(CG280:CG$295)*CH280*CG$63/CG$64+SUM(CG281:CG$295)*(CG$64-CG$63)/CG$64*CH280)</f>
        <v>3088389</v>
      </c>
      <c r="CJ280" s="87"/>
      <c r="CK280" s="87">
        <f t="shared" si="737"/>
        <v>0</v>
      </c>
      <c r="CL280" s="77">
        <f t="shared" si="738"/>
        <v>4.3000000000000003E-2</v>
      </c>
      <c r="CM280" s="87">
        <f>IF(OR($A280&gt;'Debt Service'!CK$58,$A280&lt;CK$51), 0, SUM(CK280:CK$295)*CL280*CK$63/CK$64+SUM(CK281:CK$295)*(CK$64-CK$63)/CK$64*CL280)</f>
        <v>3085379</v>
      </c>
      <c r="CN280" s="87"/>
      <c r="CO280" s="162">
        <f t="shared" si="739"/>
        <v>0</v>
      </c>
      <c r="CP280" s="87">
        <f t="shared" si="740"/>
        <v>6173768</v>
      </c>
      <c r="CQ280" s="87"/>
      <c r="CR280" s="87">
        <f t="shared" si="741"/>
        <v>0</v>
      </c>
      <c r="CS280" s="77">
        <f t="shared" si="742"/>
        <v>4.3000000000000003E-2</v>
      </c>
      <c r="CT280" s="87">
        <f>IF(OR($A280&gt;'Debt Service'!CR$58,$A280&lt;CR$51), 0, SUM(CR280:CR$295)*CS280*CR$63/CR$64+SUM(CR281:CR$295)*(CR$64-CR$63)/CR$64*CS280)</f>
        <v>0</v>
      </c>
      <c r="CU280" s="87"/>
      <c r="CV280" s="87">
        <f t="shared" si="743"/>
        <v>0</v>
      </c>
      <c r="CW280" s="77">
        <f t="shared" si="744"/>
        <v>4.3000000000000003E-2</v>
      </c>
      <c r="CX280" s="87">
        <f>IF(OR($A280&gt;'Debt Service'!CV$58,$A280&lt;CV$51), 0, SUM(CV280:CV$295)*CW280*CV$63/CV$64+SUM(CV281:CV$295)*(CV$64-CV$63)/CV$64*CW280)</f>
        <v>3079703</v>
      </c>
      <c r="CY280" s="87"/>
      <c r="CZ280" s="165">
        <f t="shared" si="745"/>
        <v>0</v>
      </c>
      <c r="DA280" s="165">
        <f t="shared" si="746"/>
        <v>3079703</v>
      </c>
      <c r="DB280" s="87"/>
      <c r="DC280" s="87">
        <f t="shared" si="747"/>
        <v>0</v>
      </c>
      <c r="DD280" s="77">
        <f t="shared" si="748"/>
        <v>4.3000000000000003E-2</v>
      </c>
      <c r="DE280" s="87">
        <f>IF($A280&gt;'Debt Service'!DC$58, 0, SUM(DC280:DC$295)*DD280*DC$63/DC$64+SUM(DC281:DC$295)*(DC$64-DC$63)/DC$64*DD280)</f>
        <v>0</v>
      </c>
      <c r="DF280" s="87"/>
      <c r="DG280" s="87">
        <f t="shared" si="749"/>
        <v>0</v>
      </c>
      <c r="DH280" s="77">
        <f t="shared" si="750"/>
        <v>4.3000000000000003E-2</v>
      </c>
      <c r="DI280" s="87">
        <f>IF($A280&gt;'Debt Service'!DG$58, 0, SUM(DG280:DG$295)*DH280*DG$63/DG$64+SUM(DG281:DG$295)*(DG$64-DG$63)/DG$64*DH280)</f>
        <v>0</v>
      </c>
      <c r="DJ280" s="87"/>
      <c r="DK280" s="87">
        <f t="shared" si="751"/>
        <v>0</v>
      </c>
      <c r="DL280" s="77">
        <f t="shared" si="752"/>
        <v>4.3000000000000003E-2</v>
      </c>
      <c r="DM280" s="87">
        <f>IF($A280&gt;'Debt Service'!DK$58, 0, SUM(DK280:DK$295)*DL280*DK$63/DK$64+SUM(DK281:DK$295)*(DK$64-DK$63)/DK$64*DL280)</f>
        <v>0</v>
      </c>
      <c r="DN280" s="87"/>
      <c r="DO280" s="87">
        <f t="shared" si="753"/>
        <v>0</v>
      </c>
      <c r="DP280" s="77">
        <f t="shared" si="754"/>
        <v>4.3000000000000003E-2</v>
      </c>
      <c r="DQ280" s="87">
        <f>IF($A280&gt;'Debt Service'!DO$58, 0, SUM(DO280:DO$295)*DP280*DO$63/DO$64+SUM(DO281:DO$295)*(DO$64-DO$63)/DO$64*DP280)</f>
        <v>0</v>
      </c>
      <c r="DR280" s="87"/>
      <c r="DS280" s="87">
        <f t="shared" si="755"/>
        <v>0</v>
      </c>
      <c r="DT280" s="77">
        <f t="shared" si="756"/>
        <v>4.3000000000000003E-2</v>
      </c>
      <c r="DU280" s="87">
        <f>IF($A280&gt;'Debt Service'!DS$58, 0, SUM(DS280:DS$295)*DT280*DS$63/DS$64+SUM(DS281:DS$295)*(DS$64-DS$63)/DS$64*DT280)</f>
        <v>0</v>
      </c>
      <c r="DV280" s="87"/>
      <c r="DW280" s="165">
        <f t="shared" si="765"/>
        <v>0</v>
      </c>
      <c r="DX280" s="165">
        <f t="shared" si="766"/>
        <v>16601741</v>
      </c>
      <c r="DY280" s="87"/>
      <c r="DZ280" s="53">
        <f t="shared" si="757"/>
        <v>2045</v>
      </c>
      <c r="EA280" s="35">
        <f t="shared" si="758"/>
        <v>0</v>
      </c>
      <c r="EB280" s="35">
        <f t="shared" si="759"/>
        <v>16601741</v>
      </c>
      <c r="EC280" s="77">
        <f>IF($A280&gt;2042, VLOOKUP($A280, Assumptions!$A$8:$D$44, Assumptions!$D$1, FALSE) +'Debt Service'!DS$307, MAX(EB280/SUM(EA280:EA$295), EC281))</f>
        <v>4.3000000000000003E-2</v>
      </c>
      <c r="ED280" s="172">
        <f t="shared" si="767"/>
        <v>22</v>
      </c>
      <c r="EE280" s="61"/>
    </row>
    <row r="281" spans="1:135" s="33" customFormat="1" outlineLevel="1">
      <c r="A281" s="7">
        <f t="shared" si="760"/>
        <v>2046</v>
      </c>
      <c r="B281" s="151">
        <f>Assumptions!B30</f>
        <v>5.3800000000000001E-2</v>
      </c>
      <c r="C281" s="151">
        <f>Assumptions!C30</f>
        <v>5.3800000000000001E-2</v>
      </c>
      <c r="D281" s="151">
        <f>Assumptions!D30</f>
        <v>3.5000000000000003E-2</v>
      </c>
      <c r="E281" s="151">
        <f>Assumptions!E30</f>
        <v>5.2999999999999999E-2</v>
      </c>
      <c r="F281" s="8"/>
      <c r="G281" s="8"/>
      <c r="H281" s="8"/>
      <c r="I281" s="8"/>
      <c r="J281" s="8"/>
      <c r="K281" s="8"/>
      <c r="L281" s="8"/>
      <c r="M281" s="87">
        <f t="shared" si="701"/>
        <v>0</v>
      </c>
      <c r="N281" s="77" t="str">
        <f t="shared" si="702"/>
        <v xml:space="preserve">   </v>
      </c>
      <c r="O281" s="87">
        <f>IF($A281&gt;'Debt Service'!M$58, 0, SUM(M281:M$295)*N281*M$63/M$64+SUM(M282:M$295)*(M$64-M$63)/M$64*N281)</f>
        <v>0</v>
      </c>
      <c r="P281" s="35"/>
      <c r="Q281" s="87">
        <f t="shared" si="703"/>
        <v>0</v>
      </c>
      <c r="R281" s="77" t="str">
        <f t="shared" si="704"/>
        <v xml:space="preserve">   </v>
      </c>
      <c r="S281" s="87">
        <f>IF($A281&gt;'Debt Service'!Q$58, 0, SUM(Q281:Q$295)*R281*Q$63/Q$64+SUM(Q282:Q$295)*(Q$64-Q$63)/Q$64*R281)</f>
        <v>0</v>
      </c>
      <c r="T281" s="35"/>
      <c r="U281" s="87">
        <f t="shared" si="705"/>
        <v>0</v>
      </c>
      <c r="V281" s="35">
        <f t="shared" si="706"/>
        <v>0</v>
      </c>
      <c r="W281" s="35"/>
      <c r="X281" s="87">
        <f t="shared" si="707"/>
        <v>0</v>
      </c>
      <c r="Y281" s="77" t="str">
        <f t="shared" si="708"/>
        <v xml:space="preserve">   </v>
      </c>
      <c r="Z281" s="87">
        <f>IF($A281&gt;'Debt Service'!X$58, 0, SUM(X281:X$295)*Y281*X$63/X$64+SUM(X282:X$295)*(X$64-X$63)/X$64*Y281)</f>
        <v>0</v>
      </c>
      <c r="AA281" s="87"/>
      <c r="AB281" s="87">
        <f t="shared" si="709"/>
        <v>0</v>
      </c>
      <c r="AC281" s="77">
        <f t="shared" si="710"/>
        <v>4.3000000000000003E-2</v>
      </c>
      <c r="AD281" s="87">
        <f>(SUM(AB281:AB$295)*AC281*AB$63/AB$64+SUM(AB282:AB$295)*(AB$64-AB$63)/AB$64*AC281)</f>
        <v>0</v>
      </c>
      <c r="AE281" s="35"/>
      <c r="AF281" s="87">
        <f t="shared" si="711"/>
        <v>0</v>
      </c>
      <c r="AG281" s="77">
        <f t="shared" si="712"/>
        <v>4.3000000000000003E-2</v>
      </c>
      <c r="AH281" s="87">
        <f>(SUM(AF281:AF$295)*AG281*AF$63/AF$64+SUM(AF282:AF$295)*(AF$64-AF$63)/AF$64*AG281)</f>
        <v>0</v>
      </c>
      <c r="AI281" s="35"/>
      <c r="AJ281" s="87">
        <f t="shared" si="713"/>
        <v>0</v>
      </c>
      <c r="AK281" s="77" t="str">
        <f t="shared" si="714"/>
        <v xml:space="preserve">   </v>
      </c>
      <c r="AL281" s="87">
        <f>IF($A281&gt;'Debt Service'!AJ$58, 0, SUM(AJ281:AJ$295)*AK281*AJ$63/AJ$64+SUM(AJ282:AJ$295)*(AJ$64-AJ$63)/AJ$64*AK281)</f>
        <v>0</v>
      </c>
      <c r="AM281" s="35"/>
      <c r="AN281" s="87">
        <f t="shared" si="715"/>
        <v>0</v>
      </c>
      <c r="AO281" s="77" t="str">
        <f t="shared" si="716"/>
        <v xml:space="preserve">   </v>
      </c>
      <c r="AP281" s="87">
        <f>IF($A281&gt;'Debt Service'!AN$58, 0, SUM(AN281:AN$295)*AO281*AN$63/AN$64+SUM(AN282:AN$295)*(AN$64-AN$63)/AN$64*AO281)</f>
        <v>0</v>
      </c>
      <c r="AQ281" s="35"/>
      <c r="AR281" s="87">
        <f t="shared" si="717"/>
        <v>0</v>
      </c>
      <c r="AS281" s="77" t="str">
        <f t="shared" si="718"/>
        <v xml:space="preserve">   </v>
      </c>
      <c r="AT281" s="87">
        <f>IF($A281&gt;'Debt Service'!AR$58, 0, SUM(AR281:AR$295)*AS281*AR$63/AR$64+SUM(AR282:AR$295)*(AR$64-AR$63)/AR$64*AS281)</f>
        <v>0</v>
      </c>
      <c r="AV281" s="35">
        <f t="shared" si="719"/>
        <v>0</v>
      </c>
      <c r="AW281" s="35">
        <f t="shared" si="720"/>
        <v>0</v>
      </c>
      <c r="AX281" s="35"/>
      <c r="AY281" s="87">
        <f t="shared" si="721"/>
        <v>0</v>
      </c>
      <c r="AZ281" s="77">
        <f t="shared" si="722"/>
        <v>4.3000000000000003E-2</v>
      </c>
      <c r="BA281" s="87">
        <f>(SUM(AY281:AY$295)*AZ281*AY$63/AY$64+SUM(AY282:AY$295)*(AY$64-AY$63)/AY$64*AZ281)</f>
        <v>0</v>
      </c>
      <c r="BB281" s="61"/>
      <c r="BC281" s="87">
        <f t="shared" si="723"/>
        <v>0</v>
      </c>
      <c r="BD281" s="77">
        <f t="shared" si="724"/>
        <v>4.3000000000000003E-2</v>
      </c>
      <c r="BE281" s="87">
        <f>IF($A281&gt;'Debt Service'!BC$58, 0, SUM(BC281:BC$295)*BD281*BC$63/BC$64+SUM(BC282:BC$295)*(BC$64-BC$63)/BC$64*BD281)</f>
        <v>1221243</v>
      </c>
      <c r="BF281" s="61"/>
      <c r="BG281" s="87">
        <f t="shared" si="725"/>
        <v>0</v>
      </c>
      <c r="BH281" s="77">
        <f t="shared" si="726"/>
        <v>4.3000000000000003E-2</v>
      </c>
      <c r="BI281" s="87">
        <f>IF($A281&gt;'Debt Service'!BG$58, 0, SUM(BG281:BG$295)*BH281*BG$63/BG$64+SUM(BG282:BG$295)*(BG$64-BG$63)/BG$64*BH281)</f>
        <v>3049431.0000000005</v>
      </c>
      <c r="BJ281" s="61"/>
      <c r="BK281" s="35">
        <f t="shared" si="761"/>
        <v>0</v>
      </c>
      <c r="BL281" s="35">
        <f t="shared" si="762"/>
        <v>4270674</v>
      </c>
      <c r="BM281" s="8"/>
      <c r="BN281" s="87">
        <f t="shared" si="727"/>
        <v>0</v>
      </c>
      <c r="BO281" s="77">
        <f t="shared" si="728"/>
        <v>4.3000000000000003E-2</v>
      </c>
      <c r="BP281" s="87">
        <f>(SUM(BN281:BN$295)*BO281*BN$63/BN$64+SUM(BN282:BN$295)*(BN$64-BN$63)/BN$64*BO281)</f>
        <v>0</v>
      </c>
      <c r="BQ281" s="77"/>
      <c r="BR281" s="87">
        <f t="shared" si="729"/>
        <v>0</v>
      </c>
      <c r="BS281" s="77">
        <f t="shared" si="730"/>
        <v>4.3000000000000003E-2</v>
      </c>
      <c r="BT281" s="87">
        <f>IF($A281&gt;'Debt Service'!BR$58, 0, SUM(BR281:BR$295)*BS281*BR$63/BR$64+SUM(BR282:BR$295)*(BR$64-BR$63)/BR$64*BS281)</f>
        <v>3077596.0000000009</v>
      </c>
      <c r="BU281" s="87"/>
      <c r="BV281" s="35">
        <f t="shared" si="763"/>
        <v>0</v>
      </c>
      <c r="BW281" s="35">
        <f t="shared" si="764"/>
        <v>3077596.0000000009</v>
      </c>
      <c r="BX281" s="87"/>
      <c r="BY281" s="87"/>
      <c r="BZ281" s="77">
        <f t="shared" si="732"/>
        <v>4.3000000000000003E-2</v>
      </c>
      <c r="CA281" s="87">
        <f>(SUM(BY281:BY$295)*BZ281*BY$63/BY$64+SUM(BY282:BY$295)*(BY$64-BY$63)/BY$64*BZ281)</f>
        <v>0</v>
      </c>
      <c r="CB281" s="87"/>
      <c r="CC281" s="87">
        <f t="shared" si="733"/>
        <v>0</v>
      </c>
      <c r="CD281" s="77">
        <f t="shared" si="734"/>
        <v>4.3000000000000003E-2</v>
      </c>
      <c r="CE281" s="87">
        <f>IF(OR($A281&gt;'Debt Service'!CC$58,$A281&lt;CC$51), 0, SUM(CC281:CC$295)*CD281*CC$63/CC$64+SUM(CC282:CC$295)*(CC$64-CC$63)/CC$64*CD281)</f>
        <v>0</v>
      </c>
      <c r="CF281" s="87"/>
      <c r="CG281" s="87">
        <f t="shared" si="735"/>
        <v>0</v>
      </c>
      <c r="CH281" s="77">
        <f t="shared" si="736"/>
        <v>4.3000000000000003E-2</v>
      </c>
      <c r="CI281" s="87">
        <f>IF(OR($A281&gt;'Debt Service'!CG$58,$A281&lt;CG$51), 0, SUM(CG281:CG$295)*CH281*CG$63/CG$64+SUM(CG282:CG$295)*(CG$64-CG$63)/CG$64*CH281)</f>
        <v>3088389</v>
      </c>
      <c r="CJ281" s="87"/>
      <c r="CK281" s="87">
        <f t="shared" si="737"/>
        <v>0</v>
      </c>
      <c r="CL281" s="77">
        <f t="shared" si="738"/>
        <v>4.3000000000000003E-2</v>
      </c>
      <c r="CM281" s="87">
        <f>IF(OR($A281&gt;'Debt Service'!CK$58,$A281&lt;CK$51), 0, SUM(CK281:CK$295)*CL281*CK$63/CK$64+SUM(CK282:CK$295)*(CK$64-CK$63)/CK$64*CL281)</f>
        <v>3085379</v>
      </c>
      <c r="CN281" s="87"/>
      <c r="CO281" s="162">
        <f t="shared" si="739"/>
        <v>0</v>
      </c>
      <c r="CP281" s="87">
        <f t="shared" si="740"/>
        <v>6173768</v>
      </c>
      <c r="CQ281" s="87"/>
      <c r="CR281" s="87">
        <f t="shared" si="741"/>
        <v>0</v>
      </c>
      <c r="CS281" s="77">
        <f t="shared" si="742"/>
        <v>4.3000000000000003E-2</v>
      </c>
      <c r="CT281" s="87">
        <f>IF(OR($A281&gt;'Debt Service'!CR$58,$A281&lt;CR$51), 0, SUM(CR281:CR$295)*CS281*CR$63/CR$64+SUM(CR282:CR$295)*(CR$64-CR$63)/CR$64*CS281)</f>
        <v>0</v>
      </c>
      <c r="CU281" s="87"/>
      <c r="CV281" s="87">
        <f t="shared" si="743"/>
        <v>0</v>
      </c>
      <c r="CW281" s="77">
        <f t="shared" si="744"/>
        <v>4.3000000000000003E-2</v>
      </c>
      <c r="CX281" s="87">
        <f>IF(OR($A281&gt;'Debt Service'!CV$58,$A281&lt;CV$51), 0, SUM(CV281:CV$295)*CW281*CV$63/CV$64+SUM(CV282:CV$295)*(CV$64-CV$63)/CV$64*CW281)</f>
        <v>3079703</v>
      </c>
      <c r="CY281" s="87"/>
      <c r="CZ281" s="165">
        <f t="shared" si="745"/>
        <v>0</v>
      </c>
      <c r="DA281" s="165">
        <f t="shared" si="746"/>
        <v>3079703</v>
      </c>
      <c r="DB281" s="87"/>
      <c r="DC281" s="87">
        <f t="shared" si="747"/>
        <v>0</v>
      </c>
      <c r="DD281" s="77">
        <f t="shared" si="748"/>
        <v>4.3000000000000003E-2</v>
      </c>
      <c r="DE281" s="87">
        <f>IF($A281&gt;'Debt Service'!DC$58, 0, SUM(DC281:DC$295)*DD281*DC$63/DC$64+SUM(DC282:DC$295)*(DC$64-DC$63)/DC$64*DD281)</f>
        <v>0</v>
      </c>
      <c r="DF281" s="87"/>
      <c r="DG281" s="87">
        <f t="shared" si="749"/>
        <v>0</v>
      </c>
      <c r="DH281" s="77">
        <f t="shared" si="750"/>
        <v>4.3000000000000003E-2</v>
      </c>
      <c r="DI281" s="87">
        <f>IF($A281&gt;'Debt Service'!DG$58, 0, SUM(DG281:DG$295)*DH281*DG$63/DG$64+SUM(DG282:DG$295)*(DG$64-DG$63)/DG$64*DH281)</f>
        <v>0</v>
      </c>
      <c r="DJ281" s="87"/>
      <c r="DK281" s="87">
        <f t="shared" si="751"/>
        <v>0</v>
      </c>
      <c r="DL281" s="77">
        <f t="shared" si="752"/>
        <v>4.3000000000000003E-2</v>
      </c>
      <c r="DM281" s="87">
        <f>IF($A281&gt;'Debt Service'!DK$58, 0, SUM(DK281:DK$295)*DL281*DK$63/DK$64+SUM(DK282:DK$295)*(DK$64-DK$63)/DK$64*DL281)</f>
        <v>0</v>
      </c>
      <c r="DN281" s="87"/>
      <c r="DO281" s="87">
        <f t="shared" si="753"/>
        <v>0</v>
      </c>
      <c r="DP281" s="77">
        <f t="shared" si="754"/>
        <v>4.3000000000000003E-2</v>
      </c>
      <c r="DQ281" s="87">
        <f>IF($A281&gt;'Debt Service'!DO$58, 0, SUM(DO281:DO$295)*DP281*DO$63/DO$64+SUM(DO282:DO$295)*(DO$64-DO$63)/DO$64*DP281)</f>
        <v>0</v>
      </c>
      <c r="DR281" s="87"/>
      <c r="DS281" s="87">
        <f t="shared" si="755"/>
        <v>0</v>
      </c>
      <c r="DT281" s="77">
        <f t="shared" si="756"/>
        <v>4.3000000000000003E-2</v>
      </c>
      <c r="DU281" s="87">
        <f>IF($A281&gt;'Debt Service'!DS$58, 0, SUM(DS281:DS$295)*DT281*DS$63/DS$64+SUM(DS282:DS$295)*(DS$64-DS$63)/DS$64*DT281)</f>
        <v>0</v>
      </c>
      <c r="DV281" s="87"/>
      <c r="DW281" s="165">
        <f t="shared" si="765"/>
        <v>0</v>
      </c>
      <c r="DX281" s="165">
        <f t="shared" si="766"/>
        <v>16601741</v>
      </c>
      <c r="DY281" s="87"/>
      <c r="DZ281" s="53">
        <f t="shared" si="757"/>
        <v>2046</v>
      </c>
      <c r="EA281" s="35">
        <f t="shared" ref="EA281:EA295" si="768">U281+X281+AB281+DW281</f>
        <v>0</v>
      </c>
      <c r="EB281" s="35">
        <f t="shared" si="759"/>
        <v>16601741</v>
      </c>
      <c r="EC281" s="77">
        <f>IF($A281&gt;2042, VLOOKUP($A281, Assumptions!$A$8:$D$44, Assumptions!$D$1, FALSE) +'Debt Service'!DS$307, MAX(EB281/SUM(EA281:EA$295), EC282))</f>
        <v>4.3000000000000003E-2</v>
      </c>
      <c r="ED281" s="172">
        <f t="shared" si="767"/>
        <v>23</v>
      </c>
      <c r="EE281" s="61"/>
    </row>
    <row r="282" spans="1:135" s="33" customFormat="1" outlineLevel="1">
      <c r="A282" s="7">
        <f t="shared" si="760"/>
        <v>2047</v>
      </c>
      <c r="B282" s="151">
        <f>Assumptions!B31</f>
        <v>5.3800000000000001E-2</v>
      </c>
      <c r="C282" s="151">
        <f>Assumptions!C31</f>
        <v>5.3800000000000001E-2</v>
      </c>
      <c r="D282" s="151">
        <f>Assumptions!D31</f>
        <v>3.5000000000000003E-2</v>
      </c>
      <c r="E282" s="151">
        <f>Assumptions!E31</f>
        <v>5.2999999999999999E-2</v>
      </c>
      <c r="F282" s="8"/>
      <c r="G282" s="8"/>
      <c r="H282" s="8"/>
      <c r="I282" s="8"/>
      <c r="J282" s="8"/>
      <c r="K282" s="8"/>
      <c r="L282" s="8"/>
      <c r="M282" s="87">
        <f t="shared" si="701"/>
        <v>0</v>
      </c>
      <c r="N282" s="77" t="str">
        <f t="shared" si="702"/>
        <v xml:space="preserve">   </v>
      </c>
      <c r="O282" s="87">
        <f>IF($A282&gt;'Debt Service'!M$58, 0, SUM(M282:M$295)*N282*M$63/M$64+SUM(M283:M$295)*(M$64-M$63)/M$64*N282)</f>
        <v>0</v>
      </c>
      <c r="P282" s="35"/>
      <c r="Q282" s="87">
        <f t="shared" si="703"/>
        <v>0</v>
      </c>
      <c r="R282" s="77" t="str">
        <f t="shared" si="704"/>
        <v xml:space="preserve">   </v>
      </c>
      <c r="S282" s="87">
        <f>IF($A282&gt;'Debt Service'!Q$58, 0, SUM(Q282:Q$295)*R282*Q$63/Q$64+SUM(Q283:Q$295)*(Q$64-Q$63)/Q$64*R282)</f>
        <v>0</v>
      </c>
      <c r="T282" s="35"/>
      <c r="U282" s="87">
        <f t="shared" si="705"/>
        <v>0</v>
      </c>
      <c r="V282" s="35">
        <f t="shared" si="706"/>
        <v>0</v>
      </c>
      <c r="W282" s="35"/>
      <c r="X282" s="87">
        <f t="shared" si="707"/>
        <v>0</v>
      </c>
      <c r="Y282" s="77" t="str">
        <f t="shared" si="708"/>
        <v xml:space="preserve">   </v>
      </c>
      <c r="Z282" s="87">
        <f>IF($A282&gt;'Debt Service'!X$58, 0, SUM(X282:X$295)*Y282*X$63/X$64+SUM(X283:X$295)*(X$64-X$63)/X$64*Y282)</f>
        <v>0</v>
      </c>
      <c r="AA282" s="87"/>
      <c r="AB282" s="87">
        <f t="shared" si="709"/>
        <v>0</v>
      </c>
      <c r="AC282" s="77">
        <f t="shared" si="710"/>
        <v>4.3000000000000003E-2</v>
      </c>
      <c r="AD282" s="87">
        <f>(SUM(AB282:AB$295)*AC282*AB$63/AB$64+SUM(AB283:AB$295)*(AB$64-AB$63)/AB$64*AC282)</f>
        <v>0</v>
      </c>
      <c r="AE282" s="35"/>
      <c r="AF282" s="87">
        <f t="shared" si="711"/>
        <v>0</v>
      </c>
      <c r="AG282" s="77">
        <f t="shared" si="712"/>
        <v>4.3000000000000003E-2</v>
      </c>
      <c r="AH282" s="87">
        <f>(SUM(AF282:AF$295)*AG282*AF$63/AF$64+SUM(AF283:AF$295)*(AF$64-AF$63)/AF$64*AG282)</f>
        <v>0</v>
      </c>
      <c r="AI282" s="35"/>
      <c r="AJ282" s="87">
        <f t="shared" si="713"/>
        <v>0</v>
      </c>
      <c r="AK282" s="77" t="str">
        <f t="shared" si="714"/>
        <v xml:space="preserve">   </v>
      </c>
      <c r="AL282" s="87">
        <f>IF($A282&gt;'Debt Service'!AJ$58, 0, SUM(AJ282:AJ$295)*AK282*AJ$63/AJ$64+SUM(AJ283:AJ$295)*(AJ$64-AJ$63)/AJ$64*AK282)</f>
        <v>0</v>
      </c>
      <c r="AM282" s="35"/>
      <c r="AN282" s="87">
        <f t="shared" si="715"/>
        <v>0</v>
      </c>
      <c r="AO282" s="77" t="str">
        <f t="shared" si="716"/>
        <v xml:space="preserve">   </v>
      </c>
      <c r="AP282" s="87">
        <f>IF($A282&gt;'Debt Service'!AN$58, 0, SUM(AN282:AN$295)*AO282*AN$63/AN$64+SUM(AN283:AN$295)*(AN$64-AN$63)/AN$64*AO282)</f>
        <v>0</v>
      </c>
      <c r="AQ282" s="35"/>
      <c r="AR282" s="87">
        <f t="shared" si="717"/>
        <v>0</v>
      </c>
      <c r="AS282" s="77" t="str">
        <f t="shared" si="718"/>
        <v xml:space="preserve">   </v>
      </c>
      <c r="AT282" s="87">
        <f>IF($A282&gt;'Debt Service'!AR$58, 0, SUM(AR282:AR$295)*AS282*AR$63/AR$64+SUM(AR283:AR$295)*(AR$64-AR$63)/AR$64*AS282)</f>
        <v>0</v>
      </c>
      <c r="AV282" s="35">
        <f t="shared" si="719"/>
        <v>0</v>
      </c>
      <c r="AW282" s="35">
        <f t="shared" si="720"/>
        <v>0</v>
      </c>
      <c r="AX282" s="35"/>
      <c r="AY282" s="87">
        <f t="shared" si="721"/>
        <v>0</v>
      </c>
      <c r="AZ282" s="77">
        <f t="shared" si="722"/>
        <v>4.3000000000000003E-2</v>
      </c>
      <c r="BA282" s="87">
        <f>(SUM(AY282:AY$295)*AZ282*AY$63/AY$64+SUM(AY283:AY$295)*(AY$64-AY$63)/AY$64*AZ282)</f>
        <v>0</v>
      </c>
      <c r="BB282" s="61"/>
      <c r="BC282" s="87">
        <f t="shared" si="723"/>
        <v>0</v>
      </c>
      <c r="BD282" s="77">
        <f t="shared" si="724"/>
        <v>4.3000000000000003E-2</v>
      </c>
      <c r="BE282" s="87">
        <f>IF($A282&gt;'Debt Service'!BC$58, 0, SUM(BC282:BC$295)*BD282*BC$63/BC$64+SUM(BC283:BC$295)*(BC$64-BC$63)/BC$64*BD282)</f>
        <v>1221243</v>
      </c>
      <c r="BF282" s="61"/>
      <c r="BG282" s="87">
        <f t="shared" si="725"/>
        <v>0</v>
      </c>
      <c r="BH282" s="77">
        <f t="shared" si="726"/>
        <v>4.3000000000000003E-2</v>
      </c>
      <c r="BI282" s="87">
        <f>IF($A282&gt;'Debt Service'!BG$58, 0, SUM(BG282:BG$295)*BH282*BG$63/BG$64+SUM(BG283:BG$295)*(BG$64-BG$63)/BG$64*BH282)</f>
        <v>3049431.0000000005</v>
      </c>
      <c r="BJ282" s="61"/>
      <c r="BK282" s="35">
        <f t="shared" si="761"/>
        <v>0</v>
      </c>
      <c r="BL282" s="35">
        <f t="shared" si="762"/>
        <v>4270674</v>
      </c>
      <c r="BM282" s="8"/>
      <c r="BN282" s="87">
        <f t="shared" si="727"/>
        <v>0</v>
      </c>
      <c r="BO282" s="77">
        <f t="shared" si="728"/>
        <v>4.3000000000000003E-2</v>
      </c>
      <c r="BP282" s="87">
        <f>(SUM(BN282:BN$295)*BO282*BN$63/BN$64+SUM(BN283:BN$295)*(BN$64-BN$63)/BN$64*BO282)</f>
        <v>0</v>
      </c>
      <c r="BQ282" s="77"/>
      <c r="BR282" s="87">
        <f t="shared" si="729"/>
        <v>0</v>
      </c>
      <c r="BS282" s="77">
        <f t="shared" si="730"/>
        <v>4.3000000000000003E-2</v>
      </c>
      <c r="BT282" s="87">
        <f>IF($A282&gt;'Debt Service'!BR$58, 0, SUM(BR282:BR$295)*BS282*BR$63/BR$64+SUM(BR283:BR$295)*(BR$64-BR$63)/BR$64*BS282)</f>
        <v>3077596.0000000009</v>
      </c>
      <c r="BU282" s="87"/>
      <c r="BV282" s="35">
        <f t="shared" si="763"/>
        <v>0</v>
      </c>
      <c r="BW282" s="35">
        <f t="shared" si="764"/>
        <v>3077596.0000000009</v>
      </c>
      <c r="BX282" s="87"/>
      <c r="BY282" s="87"/>
      <c r="BZ282" s="77">
        <f t="shared" si="732"/>
        <v>4.3000000000000003E-2</v>
      </c>
      <c r="CA282" s="87">
        <f>(SUM(BY282:BY$295)*BZ282*BY$63/BY$64+SUM(BY283:BY$295)*(BY$64-BY$63)/BY$64*BZ282)</f>
        <v>0</v>
      </c>
      <c r="CB282" s="87"/>
      <c r="CC282" s="87">
        <f t="shared" si="733"/>
        <v>0</v>
      </c>
      <c r="CD282" s="77">
        <f t="shared" si="734"/>
        <v>4.3000000000000003E-2</v>
      </c>
      <c r="CE282" s="87">
        <f>IF(OR($A282&gt;'Debt Service'!CC$58,$A282&lt;CC$51), 0, SUM(CC282:CC$295)*CD282*CC$63/CC$64+SUM(CC283:CC$295)*(CC$64-CC$63)/CC$64*CD282)</f>
        <v>0</v>
      </c>
      <c r="CF282" s="87"/>
      <c r="CG282" s="87">
        <f t="shared" si="735"/>
        <v>0</v>
      </c>
      <c r="CH282" s="77">
        <f t="shared" si="736"/>
        <v>4.3000000000000003E-2</v>
      </c>
      <c r="CI282" s="87">
        <f>IF(OR($A282&gt;'Debt Service'!CG$58,$A282&lt;CG$51), 0, SUM(CG282:CG$295)*CH282*CG$63/CG$64+SUM(CG283:CG$295)*(CG$64-CG$63)/CG$64*CH282)</f>
        <v>3088389</v>
      </c>
      <c r="CJ282" s="87"/>
      <c r="CK282" s="87">
        <f t="shared" si="737"/>
        <v>0</v>
      </c>
      <c r="CL282" s="77">
        <f t="shared" si="738"/>
        <v>4.3000000000000003E-2</v>
      </c>
      <c r="CM282" s="87">
        <f>IF(OR($A282&gt;'Debt Service'!CK$58,$A282&lt;CK$51), 0, SUM(CK282:CK$295)*CL282*CK$63/CK$64+SUM(CK283:CK$295)*(CK$64-CK$63)/CK$64*CL282)</f>
        <v>3085379</v>
      </c>
      <c r="CN282" s="87"/>
      <c r="CO282" s="162">
        <f t="shared" si="739"/>
        <v>0</v>
      </c>
      <c r="CP282" s="87">
        <f t="shared" si="740"/>
        <v>6173768</v>
      </c>
      <c r="CQ282" s="87"/>
      <c r="CR282" s="87">
        <f t="shared" si="741"/>
        <v>0</v>
      </c>
      <c r="CS282" s="77">
        <f t="shared" si="742"/>
        <v>4.3000000000000003E-2</v>
      </c>
      <c r="CT282" s="87">
        <f>IF(OR($A282&gt;'Debt Service'!CR$58,$A282&lt;CR$51), 0, SUM(CR282:CR$295)*CS282*CR$63/CR$64+SUM(CR283:CR$295)*(CR$64-CR$63)/CR$64*CS282)</f>
        <v>0</v>
      </c>
      <c r="CU282" s="87"/>
      <c r="CV282" s="87">
        <f t="shared" si="743"/>
        <v>0</v>
      </c>
      <c r="CW282" s="77">
        <f t="shared" si="744"/>
        <v>4.3000000000000003E-2</v>
      </c>
      <c r="CX282" s="87">
        <f>IF(OR($A282&gt;'Debt Service'!CV$58,$A282&lt;CV$51), 0, SUM(CV282:CV$295)*CW282*CV$63/CV$64+SUM(CV283:CV$295)*(CV$64-CV$63)/CV$64*CW282)</f>
        <v>3079703</v>
      </c>
      <c r="CY282" s="87"/>
      <c r="CZ282" s="165">
        <f t="shared" si="745"/>
        <v>0</v>
      </c>
      <c r="DA282" s="165">
        <f t="shared" si="746"/>
        <v>3079703</v>
      </c>
      <c r="DB282" s="87"/>
      <c r="DC282" s="87">
        <f t="shared" si="747"/>
        <v>0</v>
      </c>
      <c r="DD282" s="77">
        <f t="shared" si="748"/>
        <v>4.3000000000000003E-2</v>
      </c>
      <c r="DE282" s="87">
        <f>IF($A282&gt;'Debt Service'!DC$58, 0, SUM(DC282:DC$295)*DD282*DC$63/DC$64+SUM(DC283:DC$295)*(DC$64-DC$63)/DC$64*DD282)</f>
        <v>0</v>
      </c>
      <c r="DF282" s="87"/>
      <c r="DG282" s="87">
        <f t="shared" si="749"/>
        <v>0</v>
      </c>
      <c r="DH282" s="77">
        <f t="shared" si="750"/>
        <v>4.3000000000000003E-2</v>
      </c>
      <c r="DI282" s="87">
        <f>IF($A282&gt;'Debt Service'!DG$58, 0, SUM(DG282:DG$295)*DH282*DG$63/DG$64+SUM(DG283:DG$295)*(DG$64-DG$63)/DG$64*DH282)</f>
        <v>0</v>
      </c>
      <c r="DJ282" s="87"/>
      <c r="DK282" s="87">
        <f t="shared" si="751"/>
        <v>0</v>
      </c>
      <c r="DL282" s="77">
        <f t="shared" si="752"/>
        <v>4.3000000000000003E-2</v>
      </c>
      <c r="DM282" s="87">
        <f>IF($A282&gt;'Debt Service'!DK$58, 0, SUM(DK282:DK$295)*DL282*DK$63/DK$64+SUM(DK283:DK$295)*(DK$64-DK$63)/DK$64*DL282)</f>
        <v>0</v>
      </c>
      <c r="DN282" s="87"/>
      <c r="DO282" s="87">
        <f t="shared" si="753"/>
        <v>0</v>
      </c>
      <c r="DP282" s="77">
        <f t="shared" si="754"/>
        <v>4.3000000000000003E-2</v>
      </c>
      <c r="DQ282" s="87">
        <f>IF($A282&gt;'Debt Service'!DO$58, 0, SUM(DO282:DO$295)*DP282*DO$63/DO$64+SUM(DO283:DO$295)*(DO$64-DO$63)/DO$64*DP282)</f>
        <v>0</v>
      </c>
      <c r="DR282" s="87"/>
      <c r="DS282" s="87">
        <f t="shared" si="755"/>
        <v>0</v>
      </c>
      <c r="DT282" s="77">
        <f t="shared" si="756"/>
        <v>4.3000000000000003E-2</v>
      </c>
      <c r="DU282" s="87">
        <f>IF($A282&gt;'Debt Service'!DS$58, 0, SUM(DS282:DS$295)*DT282*DS$63/DS$64+SUM(DS283:DS$295)*(DS$64-DS$63)/DS$64*DT282)</f>
        <v>0</v>
      </c>
      <c r="DV282" s="87"/>
      <c r="DW282" s="165">
        <f t="shared" si="765"/>
        <v>0</v>
      </c>
      <c r="DX282" s="165">
        <f t="shared" si="766"/>
        <v>16601741</v>
      </c>
      <c r="DY282" s="87"/>
      <c r="DZ282" s="53">
        <f t="shared" si="757"/>
        <v>2047</v>
      </c>
      <c r="EA282" s="35">
        <f t="shared" si="768"/>
        <v>0</v>
      </c>
      <c r="EB282" s="35">
        <f t="shared" si="759"/>
        <v>16601741</v>
      </c>
      <c r="EC282" s="77">
        <f>IF($A282&gt;2042, VLOOKUP($A282, Assumptions!$A$8:$D$44, Assumptions!$D$1, FALSE) +'Debt Service'!DS$307, MAX(EB282/SUM(EA282:EA$295), EC283))</f>
        <v>4.3000000000000003E-2</v>
      </c>
      <c r="ED282" s="172">
        <f t="shared" si="767"/>
        <v>24</v>
      </c>
      <c r="EE282" s="61"/>
    </row>
    <row r="283" spans="1:135" s="33" customFormat="1" outlineLevel="1">
      <c r="A283" s="7">
        <f t="shared" si="760"/>
        <v>2048</v>
      </c>
      <c r="B283" s="151">
        <f>Assumptions!B32</f>
        <v>5.3800000000000001E-2</v>
      </c>
      <c r="C283" s="151">
        <f>Assumptions!C32</f>
        <v>5.3800000000000001E-2</v>
      </c>
      <c r="D283" s="151">
        <f>Assumptions!D32</f>
        <v>3.5000000000000003E-2</v>
      </c>
      <c r="E283" s="151">
        <f>Assumptions!E32</f>
        <v>5.2999999999999999E-2</v>
      </c>
      <c r="F283" s="8"/>
      <c r="G283" s="8"/>
      <c r="H283" s="8"/>
      <c r="I283" s="8"/>
      <c r="J283" s="8"/>
      <c r="K283" s="8"/>
      <c r="L283" s="8"/>
      <c r="M283" s="87">
        <f t="shared" si="701"/>
        <v>0</v>
      </c>
      <c r="N283" s="77" t="str">
        <f t="shared" si="702"/>
        <v xml:space="preserve">   </v>
      </c>
      <c r="O283" s="87">
        <f>IF($A283&gt;'Debt Service'!M$58, 0, SUM(M283:M$295)*N283*M$63/M$64+SUM(M284:M$295)*(M$64-M$63)/M$64*N283)</f>
        <v>0</v>
      </c>
      <c r="P283" s="35"/>
      <c r="Q283" s="87">
        <f t="shared" si="703"/>
        <v>0</v>
      </c>
      <c r="R283" s="77" t="str">
        <f t="shared" si="704"/>
        <v xml:space="preserve">   </v>
      </c>
      <c r="S283" s="87">
        <f>IF($A283&gt;'Debt Service'!Q$58, 0, SUM(Q283:Q$295)*R283*Q$63/Q$64+SUM(Q284:Q$295)*(Q$64-Q$63)/Q$64*R283)</f>
        <v>0</v>
      </c>
      <c r="T283" s="35"/>
      <c r="U283" s="87">
        <f t="shared" si="705"/>
        <v>0</v>
      </c>
      <c r="V283" s="35">
        <f t="shared" si="706"/>
        <v>0</v>
      </c>
      <c r="W283" s="35"/>
      <c r="X283" s="87">
        <f t="shared" si="707"/>
        <v>0</v>
      </c>
      <c r="Y283" s="77" t="str">
        <f t="shared" si="708"/>
        <v xml:space="preserve">   </v>
      </c>
      <c r="Z283" s="87">
        <f>IF($A283&gt;'Debt Service'!X$58, 0, SUM(X283:X$295)*Y283*X$63/X$64+SUM(X284:X$295)*(X$64-X$63)/X$64*Y283)</f>
        <v>0</v>
      </c>
      <c r="AA283" s="87"/>
      <c r="AB283" s="87">
        <f t="shared" si="709"/>
        <v>0</v>
      </c>
      <c r="AC283" s="77">
        <f t="shared" si="710"/>
        <v>4.3000000000000003E-2</v>
      </c>
      <c r="AD283" s="87">
        <f>(SUM(AB283:AB$295)*AC283*AB$63/AB$64+SUM(AB284:AB$295)*(AB$64-AB$63)/AB$64*AC283)</f>
        <v>0</v>
      </c>
      <c r="AE283" s="35"/>
      <c r="AF283" s="87">
        <f t="shared" si="711"/>
        <v>0</v>
      </c>
      <c r="AG283" s="77">
        <f t="shared" si="712"/>
        <v>4.3000000000000003E-2</v>
      </c>
      <c r="AH283" s="87">
        <f>(SUM(AF283:AF$295)*AG283*AF$63/AF$64+SUM(AF284:AF$295)*(AF$64-AF$63)/AF$64*AG283)</f>
        <v>0</v>
      </c>
      <c r="AI283" s="35"/>
      <c r="AJ283" s="87">
        <f t="shared" si="713"/>
        <v>0</v>
      </c>
      <c r="AK283" s="77" t="str">
        <f t="shared" si="714"/>
        <v xml:space="preserve">   </v>
      </c>
      <c r="AL283" s="87">
        <f>IF($A283&gt;'Debt Service'!AJ$58, 0, SUM(AJ283:AJ$295)*AK283*AJ$63/AJ$64+SUM(AJ284:AJ$295)*(AJ$64-AJ$63)/AJ$64*AK283)</f>
        <v>0</v>
      </c>
      <c r="AM283" s="35"/>
      <c r="AN283" s="87">
        <f t="shared" si="715"/>
        <v>0</v>
      </c>
      <c r="AO283" s="77" t="str">
        <f t="shared" si="716"/>
        <v xml:space="preserve">   </v>
      </c>
      <c r="AP283" s="87">
        <f>IF($A283&gt;'Debt Service'!AN$58, 0, SUM(AN283:AN$295)*AO283*AN$63/AN$64+SUM(AN284:AN$295)*(AN$64-AN$63)/AN$64*AO283)</f>
        <v>0</v>
      </c>
      <c r="AQ283" s="35"/>
      <c r="AR283" s="87">
        <f t="shared" si="717"/>
        <v>0</v>
      </c>
      <c r="AS283" s="77" t="str">
        <f t="shared" si="718"/>
        <v xml:space="preserve">   </v>
      </c>
      <c r="AT283" s="87">
        <f>IF($A283&gt;'Debt Service'!AR$58, 0, SUM(AR283:AR$295)*AS283*AR$63/AR$64+SUM(AR284:AR$295)*(AR$64-AR$63)/AR$64*AS283)</f>
        <v>0</v>
      </c>
      <c r="AV283" s="35">
        <f t="shared" si="719"/>
        <v>0</v>
      </c>
      <c r="AW283" s="35">
        <f t="shared" si="720"/>
        <v>0</v>
      </c>
      <c r="AX283" s="35"/>
      <c r="AY283" s="87">
        <f t="shared" si="721"/>
        <v>0</v>
      </c>
      <c r="AZ283" s="77">
        <f t="shared" si="722"/>
        <v>4.3000000000000003E-2</v>
      </c>
      <c r="BA283" s="87">
        <f>(SUM(AY283:AY$295)*AZ283*AY$63/AY$64+SUM(AY284:AY$295)*(AY$64-AY$63)/AY$64*AZ283)</f>
        <v>0</v>
      </c>
      <c r="BB283" s="61"/>
      <c r="BC283" s="87">
        <f t="shared" si="723"/>
        <v>28401000</v>
      </c>
      <c r="BD283" s="77">
        <f t="shared" si="724"/>
        <v>4.3000000000000003E-2</v>
      </c>
      <c r="BE283" s="87">
        <f>IF($A283&gt;'Debt Service'!BC$58, 0, SUM(BC283:BC$295)*BD283*BC$63/BC$64+SUM(BC284:BC$295)*(BC$64-BC$63)/BC$64*BD283)</f>
        <v>915932.25</v>
      </c>
      <c r="BF283" s="61"/>
      <c r="BG283" s="87">
        <f t="shared" si="725"/>
        <v>70917000</v>
      </c>
      <c r="BH283" s="77">
        <f t="shared" si="726"/>
        <v>4.3000000000000003E-2</v>
      </c>
      <c r="BI283" s="87">
        <f>IF($A283&gt;'Debt Service'!BG$58, 0, SUM(BG283:BG$295)*BH283*BG$63/BG$64+SUM(BG284:BG$295)*(BG$64-BG$63)/BG$64*BH283)</f>
        <v>2287073.2500000005</v>
      </c>
      <c r="BJ283" s="61"/>
      <c r="BK283" s="35">
        <f t="shared" si="761"/>
        <v>99318000</v>
      </c>
      <c r="BL283" s="35">
        <f t="shared" si="762"/>
        <v>3203005.5000000005</v>
      </c>
      <c r="BM283" s="8"/>
      <c r="BN283" s="87">
        <f t="shared" si="727"/>
        <v>0</v>
      </c>
      <c r="BO283" s="77">
        <f t="shared" si="728"/>
        <v>4.3000000000000003E-2</v>
      </c>
      <c r="BP283" s="87">
        <f>(SUM(BN283:BN$295)*BO283*BN$63/BN$64+SUM(BN284:BN$295)*(BN$64-BN$63)/BN$64*BO283)</f>
        <v>0</v>
      </c>
      <c r="BQ283" s="77"/>
      <c r="BR283" s="87">
        <f t="shared" si="729"/>
        <v>0</v>
      </c>
      <c r="BS283" s="77">
        <f t="shared" si="730"/>
        <v>4.3000000000000003E-2</v>
      </c>
      <c r="BT283" s="87">
        <f>IF($A283&gt;'Debt Service'!BR$58, 0, SUM(BR283:BR$295)*BS283*BR$63/BR$64+SUM(BR284:BR$295)*(BR$64-BR$63)/BR$64*BS283)</f>
        <v>3077596.0000000009</v>
      </c>
      <c r="BU283" s="87"/>
      <c r="BV283" s="35">
        <f t="shared" si="763"/>
        <v>0</v>
      </c>
      <c r="BW283" s="35">
        <f t="shared" si="764"/>
        <v>3077596.0000000009</v>
      </c>
      <c r="BX283" s="87"/>
      <c r="BY283" s="87"/>
      <c r="BZ283" s="77">
        <f t="shared" si="732"/>
        <v>4.3000000000000003E-2</v>
      </c>
      <c r="CA283" s="87">
        <f>(SUM(BY283:BY$295)*BZ283*BY$63/BY$64+SUM(BY284:BY$295)*(BY$64-BY$63)/BY$64*BZ283)</f>
        <v>0</v>
      </c>
      <c r="CB283" s="87"/>
      <c r="CC283" s="87">
        <f t="shared" si="733"/>
        <v>0</v>
      </c>
      <c r="CD283" s="77">
        <f t="shared" si="734"/>
        <v>4.3000000000000003E-2</v>
      </c>
      <c r="CE283" s="87">
        <f>IF(OR($A283&gt;'Debt Service'!CC$58,$A283&lt;CC$51), 0, SUM(CC283:CC$295)*CD283*CC$63/CC$64+SUM(CC284:CC$295)*(CC$64-CC$63)/CC$64*CD283)</f>
        <v>0</v>
      </c>
      <c r="CF283" s="87"/>
      <c r="CG283" s="87">
        <f t="shared" si="735"/>
        <v>0</v>
      </c>
      <c r="CH283" s="77">
        <f t="shared" si="736"/>
        <v>4.3000000000000003E-2</v>
      </c>
      <c r="CI283" s="87">
        <f>IF(OR($A283&gt;'Debt Service'!CG$58,$A283&lt;CG$51), 0, SUM(CG283:CG$295)*CH283*CG$63/CG$64+SUM(CG284:CG$295)*(CG$64-CG$63)/CG$64*CH283)</f>
        <v>3088389</v>
      </c>
      <c r="CJ283" s="87"/>
      <c r="CK283" s="87">
        <f t="shared" si="737"/>
        <v>0</v>
      </c>
      <c r="CL283" s="77">
        <f t="shared" si="738"/>
        <v>4.3000000000000003E-2</v>
      </c>
      <c r="CM283" s="87">
        <f>IF(OR($A283&gt;'Debt Service'!CK$58,$A283&lt;CK$51), 0, SUM(CK283:CK$295)*CL283*CK$63/CK$64+SUM(CK284:CK$295)*(CK$64-CK$63)/CK$64*CL283)</f>
        <v>3085379</v>
      </c>
      <c r="CN283" s="87"/>
      <c r="CO283" s="162">
        <f t="shared" si="739"/>
        <v>0</v>
      </c>
      <c r="CP283" s="87">
        <f t="shared" si="740"/>
        <v>6173768</v>
      </c>
      <c r="CQ283" s="87"/>
      <c r="CR283" s="87">
        <f t="shared" si="741"/>
        <v>0</v>
      </c>
      <c r="CS283" s="77">
        <f t="shared" si="742"/>
        <v>4.3000000000000003E-2</v>
      </c>
      <c r="CT283" s="87">
        <f>IF(OR($A283&gt;'Debt Service'!CR$58,$A283&lt;CR$51), 0, SUM(CR283:CR$295)*CS283*CR$63/CR$64+SUM(CR284:CR$295)*(CR$64-CR$63)/CR$64*CS283)</f>
        <v>0</v>
      </c>
      <c r="CU283" s="87"/>
      <c r="CV283" s="87">
        <f t="shared" si="743"/>
        <v>0</v>
      </c>
      <c r="CW283" s="77">
        <f t="shared" si="744"/>
        <v>4.3000000000000003E-2</v>
      </c>
      <c r="CX283" s="87">
        <f>IF(OR($A283&gt;'Debt Service'!CV$58,$A283&lt;CV$51), 0, SUM(CV283:CV$295)*CW283*CV$63/CV$64+SUM(CV284:CV$295)*(CV$64-CV$63)/CV$64*CW283)</f>
        <v>3079703</v>
      </c>
      <c r="CY283" s="87"/>
      <c r="CZ283" s="165">
        <f t="shared" si="745"/>
        <v>0</v>
      </c>
      <c r="DA283" s="165">
        <f t="shared" si="746"/>
        <v>3079703</v>
      </c>
      <c r="DB283" s="87"/>
      <c r="DC283" s="87">
        <f t="shared" si="747"/>
        <v>0</v>
      </c>
      <c r="DD283" s="77">
        <f t="shared" si="748"/>
        <v>4.3000000000000003E-2</v>
      </c>
      <c r="DE283" s="87">
        <f>IF($A283&gt;'Debt Service'!DC$58, 0, SUM(DC283:DC$295)*DD283*DC$63/DC$64+SUM(DC284:DC$295)*(DC$64-DC$63)/DC$64*DD283)</f>
        <v>0</v>
      </c>
      <c r="DF283" s="87"/>
      <c r="DG283" s="87">
        <f t="shared" si="749"/>
        <v>0</v>
      </c>
      <c r="DH283" s="77">
        <f t="shared" si="750"/>
        <v>4.3000000000000003E-2</v>
      </c>
      <c r="DI283" s="87">
        <f>IF($A283&gt;'Debt Service'!DG$58, 0, SUM(DG283:DG$295)*DH283*DG$63/DG$64+SUM(DG284:DG$295)*(DG$64-DG$63)/DG$64*DH283)</f>
        <v>0</v>
      </c>
      <c r="DJ283" s="87"/>
      <c r="DK283" s="87">
        <f t="shared" si="751"/>
        <v>0</v>
      </c>
      <c r="DL283" s="77">
        <f t="shared" si="752"/>
        <v>4.3000000000000003E-2</v>
      </c>
      <c r="DM283" s="87">
        <f>IF($A283&gt;'Debt Service'!DK$58, 0, SUM(DK283:DK$295)*DL283*DK$63/DK$64+SUM(DK284:DK$295)*(DK$64-DK$63)/DK$64*DL283)</f>
        <v>0</v>
      </c>
      <c r="DN283" s="87"/>
      <c r="DO283" s="87">
        <f t="shared" si="753"/>
        <v>0</v>
      </c>
      <c r="DP283" s="77">
        <f t="shared" si="754"/>
        <v>4.3000000000000003E-2</v>
      </c>
      <c r="DQ283" s="87">
        <f>IF($A283&gt;'Debt Service'!DO$58, 0, SUM(DO283:DO$295)*DP283*DO$63/DO$64+SUM(DO284:DO$295)*(DO$64-DO$63)/DO$64*DP283)</f>
        <v>0</v>
      </c>
      <c r="DR283" s="87"/>
      <c r="DS283" s="87">
        <f t="shared" si="755"/>
        <v>0</v>
      </c>
      <c r="DT283" s="77">
        <f t="shared" si="756"/>
        <v>4.3000000000000003E-2</v>
      </c>
      <c r="DU283" s="87">
        <f>IF($A283&gt;'Debt Service'!DS$58, 0, SUM(DS283:DS$295)*DT283*DS$63/DS$64+SUM(DS284:DS$295)*(DS$64-DS$63)/DS$64*DT283)</f>
        <v>0</v>
      </c>
      <c r="DV283" s="87"/>
      <c r="DW283" s="165">
        <f t="shared" si="765"/>
        <v>99318000</v>
      </c>
      <c r="DX283" s="165">
        <f t="shared" si="766"/>
        <v>15534072.500000002</v>
      </c>
      <c r="DY283" s="87"/>
      <c r="DZ283" s="53">
        <f t="shared" si="757"/>
        <v>2048</v>
      </c>
      <c r="EA283" s="35">
        <f t="shared" si="768"/>
        <v>99318000</v>
      </c>
      <c r="EB283" s="35">
        <f t="shared" si="759"/>
        <v>15534072.500000002</v>
      </c>
      <c r="EC283" s="77">
        <f>IF($A283&gt;2042, VLOOKUP($A283, Assumptions!$A$8:$D$44, Assumptions!$D$1, FALSE) +'Debt Service'!DS$307, MAX(EB283/SUM(EA283:EA$295), EC284))</f>
        <v>4.3000000000000003E-2</v>
      </c>
      <c r="ED283" s="172">
        <f t="shared" si="767"/>
        <v>25</v>
      </c>
      <c r="EE283" s="61"/>
    </row>
    <row r="284" spans="1:135" s="33" customFormat="1" outlineLevel="1">
      <c r="A284" s="7">
        <f t="shared" si="760"/>
        <v>2049</v>
      </c>
      <c r="B284" s="151">
        <f>Assumptions!B33</f>
        <v>5.3800000000000001E-2</v>
      </c>
      <c r="C284" s="151">
        <f>Assumptions!C33</f>
        <v>5.3800000000000001E-2</v>
      </c>
      <c r="D284" s="151">
        <f>Assumptions!D33</f>
        <v>3.5000000000000003E-2</v>
      </c>
      <c r="E284" s="151">
        <f>Assumptions!E33</f>
        <v>5.2999999999999999E-2</v>
      </c>
      <c r="F284" s="8"/>
      <c r="G284" s="8"/>
      <c r="H284" s="8"/>
      <c r="I284" s="8"/>
      <c r="J284" s="8"/>
      <c r="K284" s="8"/>
      <c r="L284" s="8"/>
      <c r="M284" s="87">
        <f t="shared" si="701"/>
        <v>0</v>
      </c>
      <c r="N284" s="77" t="str">
        <f t="shared" si="702"/>
        <v xml:space="preserve">   </v>
      </c>
      <c r="O284" s="87">
        <f>IF($A284&gt;'Debt Service'!M$58, 0, SUM(M284:M$295)*N284*M$63/M$64+SUM(M285:M$295)*(M$64-M$63)/M$64*N284)</f>
        <v>0</v>
      </c>
      <c r="P284" s="35"/>
      <c r="Q284" s="87">
        <f t="shared" si="703"/>
        <v>0</v>
      </c>
      <c r="R284" s="77" t="str">
        <f t="shared" si="704"/>
        <v xml:space="preserve">   </v>
      </c>
      <c r="S284" s="87">
        <f>IF($A284&gt;'Debt Service'!Q$58, 0, SUM(Q284:Q$295)*R284*Q$63/Q$64+SUM(Q285:Q$295)*(Q$64-Q$63)/Q$64*R284)</f>
        <v>0</v>
      </c>
      <c r="T284" s="35"/>
      <c r="U284" s="87">
        <f t="shared" si="705"/>
        <v>0</v>
      </c>
      <c r="V284" s="35">
        <f t="shared" si="706"/>
        <v>0</v>
      </c>
      <c r="W284" s="35"/>
      <c r="X284" s="87">
        <f t="shared" si="707"/>
        <v>0</v>
      </c>
      <c r="Y284" s="77" t="str">
        <f t="shared" si="708"/>
        <v xml:space="preserve">   </v>
      </c>
      <c r="Z284" s="87">
        <f>IF($A284&gt;'Debt Service'!X$58, 0, SUM(X284:X$295)*Y284*X$63/X$64+SUM(X285:X$295)*(X$64-X$63)/X$64*Y284)</f>
        <v>0</v>
      </c>
      <c r="AA284" s="87"/>
      <c r="AB284" s="87">
        <f t="shared" si="709"/>
        <v>0</v>
      </c>
      <c r="AC284" s="77">
        <f t="shared" si="710"/>
        <v>4.3000000000000003E-2</v>
      </c>
      <c r="AD284" s="87">
        <f>(SUM(AB284:AB$295)*AC284*AB$63/AB$64+SUM(AB285:AB$295)*(AB$64-AB$63)/AB$64*AC284)</f>
        <v>0</v>
      </c>
      <c r="AE284" s="35"/>
      <c r="AF284" s="87">
        <f t="shared" si="711"/>
        <v>0</v>
      </c>
      <c r="AG284" s="77">
        <f t="shared" si="712"/>
        <v>4.3000000000000003E-2</v>
      </c>
      <c r="AH284" s="87">
        <f>(SUM(AF284:AF$295)*AG284*AF$63/AF$64+SUM(AF285:AF$295)*(AF$64-AF$63)/AF$64*AG284)</f>
        <v>0</v>
      </c>
      <c r="AI284" s="35"/>
      <c r="AJ284" s="87">
        <f t="shared" si="713"/>
        <v>0</v>
      </c>
      <c r="AK284" s="77" t="str">
        <f t="shared" si="714"/>
        <v xml:space="preserve">   </v>
      </c>
      <c r="AL284" s="87">
        <f>IF($A284&gt;'Debt Service'!AJ$58, 0, SUM(AJ284:AJ$295)*AK284*AJ$63/AJ$64+SUM(AJ285:AJ$295)*(AJ$64-AJ$63)/AJ$64*AK284)</f>
        <v>0</v>
      </c>
      <c r="AM284" s="35"/>
      <c r="AN284" s="87">
        <f t="shared" si="715"/>
        <v>0</v>
      </c>
      <c r="AO284" s="77" t="str">
        <f t="shared" si="716"/>
        <v xml:space="preserve">   </v>
      </c>
      <c r="AP284" s="87">
        <f>IF($A284&gt;'Debt Service'!AN$58, 0, SUM(AN284:AN$295)*AO284*AN$63/AN$64+SUM(AN285:AN$295)*(AN$64-AN$63)/AN$64*AO284)</f>
        <v>0</v>
      </c>
      <c r="AQ284" s="35"/>
      <c r="AR284" s="87">
        <f t="shared" si="717"/>
        <v>0</v>
      </c>
      <c r="AS284" s="77" t="str">
        <f t="shared" si="718"/>
        <v xml:space="preserve">   </v>
      </c>
      <c r="AT284" s="87">
        <f>IF($A284&gt;'Debt Service'!AR$58, 0, SUM(AR284:AR$295)*AS284*AR$63/AR$64+SUM(AR285:AR$295)*(AR$64-AR$63)/AR$64*AS284)</f>
        <v>0</v>
      </c>
      <c r="AV284" s="35">
        <f t="shared" si="719"/>
        <v>0</v>
      </c>
      <c r="AW284" s="35">
        <f t="shared" si="720"/>
        <v>0</v>
      </c>
      <c r="AX284" s="35"/>
      <c r="AY284" s="87">
        <f t="shared" si="721"/>
        <v>0</v>
      </c>
      <c r="AZ284" s="77">
        <f t="shared" si="722"/>
        <v>4.3000000000000003E-2</v>
      </c>
      <c r="BA284" s="87">
        <f>(SUM(AY284:AY$295)*AZ284*AY$63/AY$64+SUM(AY285:AY$295)*(AY$64-AY$63)/AY$64*AZ284)</f>
        <v>0</v>
      </c>
      <c r="BB284" s="61"/>
      <c r="BC284" s="87">
        <f t="shared" si="723"/>
        <v>0</v>
      </c>
      <c r="BD284" s="77">
        <f t="shared" si="724"/>
        <v>4.3000000000000003E-2</v>
      </c>
      <c r="BE284" s="87">
        <f>IF($A284&gt;'Debt Service'!BC$58, 0, SUM(BC284:BC$295)*BD284*BC$63/BC$64+SUM(BC285:BC$295)*(BC$64-BC$63)/BC$64*BD284)</f>
        <v>0</v>
      </c>
      <c r="BF284" s="61"/>
      <c r="BG284" s="87">
        <f t="shared" si="725"/>
        <v>0</v>
      </c>
      <c r="BH284" s="77">
        <f t="shared" si="726"/>
        <v>4.3000000000000003E-2</v>
      </c>
      <c r="BI284" s="87">
        <f>IF($A284&gt;'Debt Service'!BG$58, 0, SUM(BG284:BG$295)*BH284*BG$63/BG$64+SUM(BG285:BG$295)*(BG$64-BG$63)/BG$64*BH284)</f>
        <v>0</v>
      </c>
      <c r="BJ284" s="61"/>
      <c r="BK284" s="35">
        <f t="shared" si="761"/>
        <v>0</v>
      </c>
      <c r="BL284" s="35">
        <f t="shared" si="762"/>
        <v>0</v>
      </c>
      <c r="BM284" s="8"/>
      <c r="BN284" s="87">
        <f t="shared" si="727"/>
        <v>0</v>
      </c>
      <c r="BO284" s="77">
        <f t="shared" si="728"/>
        <v>4.3000000000000003E-2</v>
      </c>
      <c r="BP284" s="87">
        <f>(SUM(BN284:BN$295)*BO284*BN$63/BN$64+SUM(BN285:BN$295)*(BN$64-BN$63)/BN$64*BO284)</f>
        <v>0</v>
      </c>
      <c r="BQ284" s="77"/>
      <c r="BR284" s="87">
        <f t="shared" si="729"/>
        <v>0</v>
      </c>
      <c r="BS284" s="77">
        <f t="shared" si="730"/>
        <v>4.3000000000000003E-2</v>
      </c>
      <c r="BT284" s="87">
        <f>IF($A284&gt;'Debt Service'!BR$58, 0, SUM(BR284:BR$295)*BS284*BR$63/BR$64+SUM(BR285:BR$295)*(BR$64-BR$63)/BR$64*BS284)</f>
        <v>3077596.0000000009</v>
      </c>
      <c r="BU284" s="87"/>
      <c r="BV284" s="35">
        <f t="shared" si="763"/>
        <v>0</v>
      </c>
      <c r="BW284" s="35">
        <f t="shared" si="764"/>
        <v>3077596.0000000009</v>
      </c>
      <c r="BX284" s="87"/>
      <c r="BY284" s="87"/>
      <c r="BZ284" s="77">
        <f t="shared" si="732"/>
        <v>4.3000000000000003E-2</v>
      </c>
      <c r="CA284" s="87">
        <f>(SUM(BY284:BY$295)*BZ284*BY$63/BY$64+SUM(BY285:BY$295)*(BY$64-BY$63)/BY$64*BZ284)</f>
        <v>0</v>
      </c>
      <c r="CB284" s="87"/>
      <c r="CC284" s="87">
        <f t="shared" si="733"/>
        <v>0</v>
      </c>
      <c r="CD284" s="77">
        <f t="shared" si="734"/>
        <v>4.3000000000000003E-2</v>
      </c>
      <c r="CE284" s="87">
        <f>IF(OR($A284&gt;'Debt Service'!CC$58,$A284&lt;CC$51), 0, SUM(CC284:CC$295)*CD284*CC$63/CC$64+SUM(CC285:CC$295)*(CC$64-CC$63)/CC$64*CD284)</f>
        <v>0</v>
      </c>
      <c r="CF284" s="87"/>
      <c r="CG284" s="87">
        <f t="shared" si="735"/>
        <v>0</v>
      </c>
      <c r="CH284" s="77">
        <f t="shared" si="736"/>
        <v>4.3000000000000003E-2</v>
      </c>
      <c r="CI284" s="87">
        <f>IF(OR($A284&gt;'Debt Service'!CG$58,$A284&lt;CG$51), 0, SUM(CG284:CG$295)*CH284*CG$63/CG$64+SUM(CG285:CG$295)*(CG$64-CG$63)/CG$64*CH284)</f>
        <v>3088389</v>
      </c>
      <c r="CJ284" s="87"/>
      <c r="CK284" s="87">
        <f t="shared" si="737"/>
        <v>0</v>
      </c>
      <c r="CL284" s="77">
        <f t="shared" si="738"/>
        <v>4.3000000000000003E-2</v>
      </c>
      <c r="CM284" s="87">
        <f>IF(OR($A284&gt;'Debt Service'!CK$58,$A284&lt;CK$51), 0, SUM(CK284:CK$295)*CL284*CK$63/CK$64+SUM(CK285:CK$295)*(CK$64-CK$63)/CK$64*CL284)</f>
        <v>3085379</v>
      </c>
      <c r="CN284" s="87"/>
      <c r="CO284" s="162">
        <f t="shared" si="739"/>
        <v>0</v>
      </c>
      <c r="CP284" s="87">
        <f t="shared" si="740"/>
        <v>6173768</v>
      </c>
      <c r="CQ284" s="87"/>
      <c r="CR284" s="87">
        <f t="shared" si="741"/>
        <v>0</v>
      </c>
      <c r="CS284" s="77">
        <f t="shared" si="742"/>
        <v>4.3000000000000003E-2</v>
      </c>
      <c r="CT284" s="87">
        <f>IF(OR($A284&gt;'Debt Service'!CR$58,$A284&lt;CR$51), 0, SUM(CR284:CR$295)*CS284*CR$63/CR$64+SUM(CR285:CR$295)*(CR$64-CR$63)/CR$64*CS284)</f>
        <v>0</v>
      </c>
      <c r="CU284" s="87"/>
      <c r="CV284" s="87">
        <f t="shared" si="743"/>
        <v>0</v>
      </c>
      <c r="CW284" s="77">
        <f t="shared" si="744"/>
        <v>4.3000000000000003E-2</v>
      </c>
      <c r="CX284" s="87">
        <f>IF(OR($A284&gt;'Debt Service'!CV$58,$A284&lt;CV$51), 0, SUM(CV284:CV$295)*CW284*CV$63/CV$64+SUM(CV285:CV$295)*(CV$64-CV$63)/CV$64*CW284)</f>
        <v>3079703</v>
      </c>
      <c r="CY284" s="87"/>
      <c r="CZ284" s="165">
        <f t="shared" si="745"/>
        <v>0</v>
      </c>
      <c r="DA284" s="165">
        <f t="shared" si="746"/>
        <v>3079703</v>
      </c>
      <c r="DB284" s="87"/>
      <c r="DC284" s="87">
        <f t="shared" si="747"/>
        <v>0</v>
      </c>
      <c r="DD284" s="77">
        <f t="shared" si="748"/>
        <v>4.3000000000000003E-2</v>
      </c>
      <c r="DE284" s="87">
        <f>IF($A284&gt;'Debt Service'!DC$58, 0, SUM(DC284:DC$295)*DD284*DC$63/DC$64+SUM(DC285:DC$295)*(DC$64-DC$63)/DC$64*DD284)</f>
        <v>0</v>
      </c>
      <c r="DF284" s="87"/>
      <c r="DG284" s="87">
        <f t="shared" si="749"/>
        <v>0</v>
      </c>
      <c r="DH284" s="77">
        <f t="shared" si="750"/>
        <v>4.3000000000000003E-2</v>
      </c>
      <c r="DI284" s="87">
        <f>IF($A284&gt;'Debt Service'!DG$58, 0, SUM(DG284:DG$295)*DH284*DG$63/DG$64+SUM(DG285:DG$295)*(DG$64-DG$63)/DG$64*DH284)</f>
        <v>0</v>
      </c>
      <c r="DJ284" s="87"/>
      <c r="DK284" s="87">
        <f t="shared" si="751"/>
        <v>0</v>
      </c>
      <c r="DL284" s="77">
        <f t="shared" si="752"/>
        <v>4.3000000000000003E-2</v>
      </c>
      <c r="DM284" s="87">
        <f>IF($A284&gt;'Debt Service'!DK$58, 0, SUM(DK284:DK$295)*DL284*DK$63/DK$64+SUM(DK285:DK$295)*(DK$64-DK$63)/DK$64*DL284)</f>
        <v>0</v>
      </c>
      <c r="DN284" s="87"/>
      <c r="DO284" s="87">
        <f t="shared" si="753"/>
        <v>0</v>
      </c>
      <c r="DP284" s="77">
        <f t="shared" si="754"/>
        <v>4.3000000000000003E-2</v>
      </c>
      <c r="DQ284" s="87">
        <f>IF($A284&gt;'Debt Service'!DO$58, 0, SUM(DO284:DO$295)*DP284*DO$63/DO$64+SUM(DO285:DO$295)*(DO$64-DO$63)/DO$64*DP284)</f>
        <v>0</v>
      </c>
      <c r="DR284" s="87"/>
      <c r="DS284" s="87">
        <f t="shared" si="755"/>
        <v>0</v>
      </c>
      <c r="DT284" s="77">
        <f t="shared" si="756"/>
        <v>4.3000000000000003E-2</v>
      </c>
      <c r="DU284" s="87">
        <f>IF($A284&gt;'Debt Service'!DS$58, 0, SUM(DS284:DS$295)*DT284*DS$63/DS$64+SUM(DS285:DS$295)*(DS$64-DS$63)/DS$64*DT284)</f>
        <v>0</v>
      </c>
      <c r="DV284" s="87"/>
      <c r="DW284" s="165">
        <f t="shared" si="765"/>
        <v>0</v>
      </c>
      <c r="DX284" s="165">
        <f t="shared" si="766"/>
        <v>12331067</v>
      </c>
      <c r="DY284" s="87"/>
      <c r="DZ284" s="53">
        <f t="shared" si="757"/>
        <v>2049</v>
      </c>
      <c r="EA284" s="35">
        <f t="shared" si="768"/>
        <v>0</v>
      </c>
      <c r="EB284" s="35">
        <f t="shared" si="759"/>
        <v>12331067</v>
      </c>
      <c r="EC284" s="77">
        <f>IF($A284&gt;2042, VLOOKUP($A284, Assumptions!$A$8:$D$44, Assumptions!$D$1, FALSE) +'Debt Service'!DS$307, MAX(EB284/SUM(EA284:EA$295), EC285))</f>
        <v>4.3000000000000003E-2</v>
      </c>
      <c r="ED284" s="172">
        <f t="shared" si="767"/>
        <v>26</v>
      </c>
      <c r="EE284" s="61"/>
    </row>
    <row r="285" spans="1:135" s="33" customFormat="1" outlineLevel="1">
      <c r="A285" s="7">
        <f t="shared" si="760"/>
        <v>2050</v>
      </c>
      <c r="B285" s="151">
        <f>Assumptions!B34</f>
        <v>5.3800000000000001E-2</v>
      </c>
      <c r="C285" s="151">
        <f>Assumptions!C34</f>
        <v>5.3800000000000001E-2</v>
      </c>
      <c r="D285" s="151">
        <f>Assumptions!D34</f>
        <v>3.5000000000000003E-2</v>
      </c>
      <c r="E285" s="151">
        <f>Assumptions!E34</f>
        <v>5.2999999999999999E-2</v>
      </c>
      <c r="F285" s="8"/>
      <c r="G285" s="8"/>
      <c r="H285" s="8"/>
      <c r="I285" s="8"/>
      <c r="J285" s="8"/>
      <c r="K285" s="8"/>
      <c r="L285" s="8"/>
      <c r="M285" s="87">
        <f t="shared" si="701"/>
        <v>0</v>
      </c>
      <c r="N285" s="77" t="str">
        <f t="shared" si="702"/>
        <v xml:space="preserve">   </v>
      </c>
      <c r="O285" s="87">
        <f>IF($A285&gt;'Debt Service'!M$58, 0, SUM(M285:M$295)*N285*M$63/M$64+SUM(M286:M$295)*(M$64-M$63)/M$64*N285)</f>
        <v>0</v>
      </c>
      <c r="P285" s="35"/>
      <c r="Q285" s="87">
        <f t="shared" si="703"/>
        <v>0</v>
      </c>
      <c r="R285" s="77" t="str">
        <f t="shared" si="704"/>
        <v xml:space="preserve">   </v>
      </c>
      <c r="S285" s="87">
        <f>IF($A285&gt;'Debt Service'!Q$58, 0, SUM(Q285:Q$295)*R285*Q$63/Q$64+SUM(Q286:Q$295)*(Q$64-Q$63)/Q$64*R285)</f>
        <v>0</v>
      </c>
      <c r="T285" s="35"/>
      <c r="U285" s="87">
        <f t="shared" si="705"/>
        <v>0</v>
      </c>
      <c r="V285" s="35">
        <f t="shared" si="706"/>
        <v>0</v>
      </c>
      <c r="W285" s="35"/>
      <c r="X285" s="87">
        <f t="shared" si="707"/>
        <v>0</v>
      </c>
      <c r="Y285" s="77" t="str">
        <f t="shared" si="708"/>
        <v xml:space="preserve">   </v>
      </c>
      <c r="Z285" s="87">
        <f>IF($A285&gt;'Debt Service'!X$58, 0, SUM(X285:X$295)*Y285*X$63/X$64+SUM(X286:X$295)*(X$64-X$63)/X$64*Y285)</f>
        <v>0</v>
      </c>
      <c r="AA285" s="87"/>
      <c r="AB285" s="87">
        <f t="shared" si="709"/>
        <v>0</v>
      </c>
      <c r="AC285" s="77">
        <f t="shared" si="710"/>
        <v>4.3000000000000003E-2</v>
      </c>
      <c r="AD285" s="87">
        <f>(SUM(AB285:AB$295)*AC285*AB$63/AB$64+SUM(AB286:AB$295)*(AB$64-AB$63)/AB$64*AC285)</f>
        <v>0</v>
      </c>
      <c r="AE285" s="35"/>
      <c r="AF285" s="87">
        <f t="shared" si="711"/>
        <v>0</v>
      </c>
      <c r="AG285" s="77">
        <f t="shared" si="712"/>
        <v>4.3000000000000003E-2</v>
      </c>
      <c r="AH285" s="87">
        <f>(SUM(AF285:AF$295)*AG285*AF$63/AF$64+SUM(AF286:AF$295)*(AF$64-AF$63)/AF$64*AG285)</f>
        <v>0</v>
      </c>
      <c r="AI285" s="35"/>
      <c r="AJ285" s="87">
        <f t="shared" si="713"/>
        <v>0</v>
      </c>
      <c r="AK285" s="77" t="str">
        <f t="shared" si="714"/>
        <v xml:space="preserve">   </v>
      </c>
      <c r="AL285" s="87">
        <f>IF($A285&gt;'Debt Service'!AJ$58, 0, SUM(AJ285:AJ$295)*AK285*AJ$63/AJ$64+SUM(AJ286:AJ$295)*(AJ$64-AJ$63)/AJ$64*AK285)</f>
        <v>0</v>
      </c>
      <c r="AM285" s="35"/>
      <c r="AN285" s="87">
        <f t="shared" si="715"/>
        <v>0</v>
      </c>
      <c r="AO285" s="77" t="str">
        <f t="shared" si="716"/>
        <v xml:space="preserve">   </v>
      </c>
      <c r="AP285" s="87">
        <f>IF($A285&gt;'Debt Service'!AN$58, 0, SUM(AN285:AN$295)*AO285*AN$63/AN$64+SUM(AN286:AN$295)*(AN$64-AN$63)/AN$64*AO285)</f>
        <v>0</v>
      </c>
      <c r="AQ285" s="35"/>
      <c r="AR285" s="87">
        <f t="shared" si="717"/>
        <v>0</v>
      </c>
      <c r="AS285" s="77" t="str">
        <f t="shared" si="718"/>
        <v xml:space="preserve">   </v>
      </c>
      <c r="AT285" s="87">
        <f>IF($A285&gt;'Debt Service'!AR$58, 0, SUM(AR285:AR$295)*AS285*AR$63/AR$64+SUM(AR286:AR$295)*(AR$64-AR$63)/AR$64*AS285)</f>
        <v>0</v>
      </c>
      <c r="AV285" s="35">
        <f t="shared" si="719"/>
        <v>0</v>
      </c>
      <c r="AW285" s="35">
        <f t="shared" si="720"/>
        <v>0</v>
      </c>
      <c r="AX285" s="35"/>
      <c r="AY285" s="87">
        <f t="shared" si="721"/>
        <v>0</v>
      </c>
      <c r="AZ285" s="77">
        <f t="shared" si="722"/>
        <v>4.3000000000000003E-2</v>
      </c>
      <c r="BA285" s="87">
        <f>(SUM(AY285:AY$295)*AZ285*AY$63/AY$64+SUM(AY286:AY$295)*(AY$64-AY$63)/AY$64*AZ285)</f>
        <v>0</v>
      </c>
      <c r="BB285" s="61"/>
      <c r="BC285" s="87">
        <f t="shared" si="723"/>
        <v>0</v>
      </c>
      <c r="BD285" s="77">
        <f t="shared" si="724"/>
        <v>4.3000000000000003E-2</v>
      </c>
      <c r="BE285" s="87">
        <f>IF($A285&gt;'Debt Service'!BC$58, 0, SUM(BC285:BC$295)*BD285*BC$63/BC$64+SUM(BC286:BC$295)*(BC$64-BC$63)/BC$64*BD285)</f>
        <v>0</v>
      </c>
      <c r="BF285" s="61"/>
      <c r="BG285" s="87">
        <f t="shared" si="725"/>
        <v>0</v>
      </c>
      <c r="BH285" s="77">
        <f t="shared" si="726"/>
        <v>4.3000000000000003E-2</v>
      </c>
      <c r="BI285" s="87">
        <f>IF($A285&gt;'Debt Service'!BG$58, 0, SUM(BG285:BG$295)*BH285*BG$63/BG$64+SUM(BG286:BG$295)*(BG$64-BG$63)/BG$64*BH285)</f>
        <v>0</v>
      </c>
      <c r="BJ285" s="61"/>
      <c r="BK285" s="35">
        <f t="shared" si="761"/>
        <v>0</v>
      </c>
      <c r="BL285" s="35">
        <f t="shared" si="762"/>
        <v>0</v>
      </c>
      <c r="BM285" s="8"/>
      <c r="BN285" s="87">
        <f t="shared" si="727"/>
        <v>0</v>
      </c>
      <c r="BO285" s="77">
        <f t="shared" si="728"/>
        <v>4.3000000000000003E-2</v>
      </c>
      <c r="BP285" s="87">
        <f>(SUM(BN285:BN$295)*BO285*BN$63/BN$64+SUM(BN286:BN$295)*(BN$64-BN$63)/BN$64*BO285)</f>
        <v>0</v>
      </c>
      <c r="BQ285" s="77"/>
      <c r="BR285" s="87">
        <f t="shared" si="729"/>
        <v>0</v>
      </c>
      <c r="BS285" s="77">
        <f t="shared" si="730"/>
        <v>4.3000000000000003E-2</v>
      </c>
      <c r="BT285" s="87">
        <f>IF($A285&gt;'Debt Service'!BR$58, 0, SUM(BR285:BR$295)*BS285*BR$63/BR$64+SUM(BR286:BR$295)*(BR$64-BR$63)/BR$64*BS285)</f>
        <v>3077596.0000000009</v>
      </c>
      <c r="BU285" s="87"/>
      <c r="BV285" s="35">
        <f t="shared" si="763"/>
        <v>0</v>
      </c>
      <c r="BW285" s="35">
        <f t="shared" si="764"/>
        <v>3077596.0000000009</v>
      </c>
      <c r="BX285" s="87"/>
      <c r="BY285" s="87"/>
      <c r="BZ285" s="77">
        <f t="shared" si="732"/>
        <v>4.3000000000000003E-2</v>
      </c>
      <c r="CA285" s="87">
        <f>(SUM(BY285:BY$295)*BZ285*BY$63/BY$64+SUM(BY286:BY$295)*(BY$64-BY$63)/BY$64*BZ285)</f>
        <v>0</v>
      </c>
      <c r="CB285" s="87"/>
      <c r="CC285" s="87">
        <f t="shared" si="733"/>
        <v>0</v>
      </c>
      <c r="CD285" s="77">
        <f t="shared" si="734"/>
        <v>4.3000000000000003E-2</v>
      </c>
      <c r="CE285" s="87">
        <f>IF(OR($A285&gt;'Debt Service'!CC$58,$A285&lt;CC$51), 0, SUM(CC285:CC$295)*CD285*CC$63/CC$64+SUM(CC286:CC$295)*(CC$64-CC$63)/CC$64*CD285)</f>
        <v>0</v>
      </c>
      <c r="CF285" s="87"/>
      <c r="CG285" s="87">
        <f t="shared" si="735"/>
        <v>0</v>
      </c>
      <c r="CH285" s="77">
        <f t="shared" si="736"/>
        <v>4.3000000000000003E-2</v>
      </c>
      <c r="CI285" s="87">
        <f>IF(OR($A285&gt;'Debt Service'!CG$58,$A285&lt;CG$51), 0, SUM(CG285:CG$295)*CH285*CG$63/CG$64+SUM(CG286:CG$295)*(CG$64-CG$63)/CG$64*CH285)</f>
        <v>3088389</v>
      </c>
      <c r="CJ285" s="87"/>
      <c r="CK285" s="87">
        <f t="shared" si="737"/>
        <v>0</v>
      </c>
      <c r="CL285" s="77">
        <f t="shared" si="738"/>
        <v>4.3000000000000003E-2</v>
      </c>
      <c r="CM285" s="87">
        <f>IF(OR($A285&gt;'Debt Service'!CK$58,$A285&lt;CK$51), 0, SUM(CK285:CK$295)*CL285*CK$63/CK$64+SUM(CK286:CK$295)*(CK$64-CK$63)/CK$64*CL285)</f>
        <v>3085379</v>
      </c>
      <c r="CN285" s="87"/>
      <c r="CO285" s="162">
        <f t="shared" si="739"/>
        <v>0</v>
      </c>
      <c r="CP285" s="87">
        <f t="shared" si="740"/>
        <v>6173768</v>
      </c>
      <c r="CQ285" s="87"/>
      <c r="CR285" s="87">
        <f t="shared" si="741"/>
        <v>0</v>
      </c>
      <c r="CS285" s="77">
        <f t="shared" si="742"/>
        <v>4.3000000000000003E-2</v>
      </c>
      <c r="CT285" s="87">
        <f>IF(OR($A285&gt;'Debt Service'!CR$58,$A285&lt;CR$51), 0, SUM(CR285:CR$295)*CS285*CR$63/CR$64+SUM(CR286:CR$295)*(CR$64-CR$63)/CR$64*CS285)</f>
        <v>0</v>
      </c>
      <c r="CU285" s="87"/>
      <c r="CV285" s="87">
        <f t="shared" si="743"/>
        <v>0</v>
      </c>
      <c r="CW285" s="77">
        <f t="shared" si="744"/>
        <v>4.3000000000000003E-2</v>
      </c>
      <c r="CX285" s="87">
        <f>IF(OR($A285&gt;'Debt Service'!CV$58,$A285&lt;CV$51), 0, SUM(CV285:CV$295)*CW285*CV$63/CV$64+SUM(CV286:CV$295)*(CV$64-CV$63)/CV$64*CW285)</f>
        <v>3079703</v>
      </c>
      <c r="CY285" s="87"/>
      <c r="CZ285" s="165">
        <f t="shared" si="745"/>
        <v>0</v>
      </c>
      <c r="DA285" s="165">
        <f t="shared" si="746"/>
        <v>3079703</v>
      </c>
      <c r="DB285" s="87"/>
      <c r="DC285" s="87">
        <f t="shared" si="747"/>
        <v>0</v>
      </c>
      <c r="DD285" s="77">
        <f t="shared" si="748"/>
        <v>4.3000000000000003E-2</v>
      </c>
      <c r="DE285" s="87">
        <f>IF($A285&gt;'Debt Service'!DC$58, 0, SUM(DC285:DC$295)*DD285*DC$63/DC$64+SUM(DC286:DC$295)*(DC$64-DC$63)/DC$64*DD285)</f>
        <v>0</v>
      </c>
      <c r="DF285" s="87"/>
      <c r="DG285" s="87">
        <f t="shared" si="749"/>
        <v>0</v>
      </c>
      <c r="DH285" s="77">
        <f t="shared" si="750"/>
        <v>4.3000000000000003E-2</v>
      </c>
      <c r="DI285" s="87">
        <f>IF($A285&gt;'Debt Service'!DG$58, 0, SUM(DG285:DG$295)*DH285*DG$63/DG$64+SUM(DG286:DG$295)*(DG$64-DG$63)/DG$64*DH285)</f>
        <v>0</v>
      </c>
      <c r="DJ285" s="87"/>
      <c r="DK285" s="87">
        <f t="shared" si="751"/>
        <v>0</v>
      </c>
      <c r="DL285" s="77">
        <f t="shared" si="752"/>
        <v>4.3000000000000003E-2</v>
      </c>
      <c r="DM285" s="87">
        <f>IF($A285&gt;'Debt Service'!DK$58, 0, SUM(DK285:DK$295)*DL285*DK$63/DK$64+SUM(DK286:DK$295)*(DK$64-DK$63)/DK$64*DL285)</f>
        <v>0</v>
      </c>
      <c r="DN285" s="87"/>
      <c r="DO285" s="87">
        <f t="shared" si="753"/>
        <v>0</v>
      </c>
      <c r="DP285" s="77">
        <f t="shared" si="754"/>
        <v>4.3000000000000003E-2</v>
      </c>
      <c r="DQ285" s="87">
        <f>IF($A285&gt;'Debt Service'!DO$58, 0, SUM(DO285:DO$295)*DP285*DO$63/DO$64+SUM(DO286:DO$295)*(DO$64-DO$63)/DO$64*DP285)</f>
        <v>0</v>
      </c>
      <c r="DR285" s="87"/>
      <c r="DS285" s="87">
        <f t="shared" si="755"/>
        <v>0</v>
      </c>
      <c r="DT285" s="77">
        <f t="shared" si="756"/>
        <v>4.3000000000000003E-2</v>
      </c>
      <c r="DU285" s="87">
        <f>IF($A285&gt;'Debt Service'!DS$58, 0, SUM(DS285:DS$295)*DT285*DS$63/DS$64+SUM(DS286:DS$295)*(DS$64-DS$63)/DS$64*DT285)</f>
        <v>0</v>
      </c>
      <c r="DV285" s="87"/>
      <c r="DW285" s="165">
        <f t="shared" si="765"/>
        <v>0</v>
      </c>
      <c r="DX285" s="165">
        <f t="shared" si="766"/>
        <v>12331067</v>
      </c>
      <c r="DY285" s="87"/>
      <c r="DZ285" s="53">
        <f t="shared" si="757"/>
        <v>2050</v>
      </c>
      <c r="EA285" s="35">
        <f t="shared" si="768"/>
        <v>0</v>
      </c>
      <c r="EB285" s="35">
        <f t="shared" si="759"/>
        <v>12331067</v>
      </c>
      <c r="EC285" s="77">
        <f>IF($A285&gt;2042, VLOOKUP($A285, Assumptions!$A$8:$D$44, Assumptions!$D$1, FALSE) +'Debt Service'!DS$307, MAX(EB285/SUM(EA285:EA$295), EC286))</f>
        <v>4.3000000000000003E-2</v>
      </c>
      <c r="ED285" s="172">
        <f t="shared" si="767"/>
        <v>27</v>
      </c>
      <c r="EE285" s="61"/>
    </row>
    <row r="286" spans="1:135" s="33" customFormat="1" outlineLevel="1">
      <c r="A286" s="7">
        <f t="shared" si="760"/>
        <v>2051</v>
      </c>
      <c r="B286" s="151">
        <f>Assumptions!B35</f>
        <v>5.3800000000000001E-2</v>
      </c>
      <c r="C286" s="151">
        <f>Assumptions!C35</f>
        <v>5.3800000000000001E-2</v>
      </c>
      <c r="D286" s="151">
        <f>Assumptions!D35</f>
        <v>3.5000000000000003E-2</v>
      </c>
      <c r="E286" s="151">
        <f>Assumptions!E35</f>
        <v>5.2999999999999999E-2</v>
      </c>
      <c r="F286" s="8"/>
      <c r="G286" s="8"/>
      <c r="H286" s="8"/>
      <c r="I286" s="8"/>
      <c r="J286" s="8"/>
      <c r="K286" s="8"/>
      <c r="L286" s="8"/>
      <c r="M286" s="87">
        <f t="shared" si="701"/>
        <v>0</v>
      </c>
      <c r="N286" s="77" t="str">
        <f t="shared" si="702"/>
        <v xml:space="preserve">   </v>
      </c>
      <c r="O286" s="87">
        <f>IF($A286&gt;'Debt Service'!M$58, 0, SUM(M286:M$295)*N286*M$63/M$64+SUM(M287:M$295)*(M$64-M$63)/M$64*N286)</f>
        <v>0</v>
      </c>
      <c r="P286" s="35"/>
      <c r="Q286" s="87">
        <f t="shared" si="703"/>
        <v>0</v>
      </c>
      <c r="R286" s="77" t="str">
        <f t="shared" si="704"/>
        <v xml:space="preserve">   </v>
      </c>
      <c r="S286" s="87">
        <f>IF($A286&gt;'Debt Service'!Q$58, 0, SUM(Q286:Q$295)*R286*Q$63/Q$64+SUM(Q287:Q$295)*(Q$64-Q$63)/Q$64*R286)</f>
        <v>0</v>
      </c>
      <c r="T286" s="35"/>
      <c r="U286" s="87">
        <f t="shared" si="705"/>
        <v>0</v>
      </c>
      <c r="V286" s="35">
        <f t="shared" si="706"/>
        <v>0</v>
      </c>
      <c r="W286" s="35"/>
      <c r="X286" s="87">
        <f t="shared" si="707"/>
        <v>0</v>
      </c>
      <c r="Y286" s="77" t="str">
        <f t="shared" si="708"/>
        <v xml:space="preserve">   </v>
      </c>
      <c r="Z286" s="87">
        <f>IF($A286&gt;'Debt Service'!X$58, 0, SUM(X286:X$295)*Y286*X$63/X$64+SUM(X287:X$295)*(X$64-X$63)/X$64*Y286)</f>
        <v>0</v>
      </c>
      <c r="AA286" s="87"/>
      <c r="AB286" s="87">
        <f t="shared" si="709"/>
        <v>0</v>
      </c>
      <c r="AC286" s="77">
        <f t="shared" si="710"/>
        <v>4.3000000000000003E-2</v>
      </c>
      <c r="AD286" s="87">
        <f>(SUM(AB286:AB$295)*AC286*AB$63/AB$64+SUM(AB287:AB$295)*(AB$64-AB$63)/AB$64*AC286)</f>
        <v>0</v>
      </c>
      <c r="AE286" s="35"/>
      <c r="AF286" s="87">
        <f t="shared" si="711"/>
        <v>0</v>
      </c>
      <c r="AG286" s="77">
        <f t="shared" si="712"/>
        <v>4.3000000000000003E-2</v>
      </c>
      <c r="AH286" s="87">
        <f>(SUM(AF286:AF$295)*AG286*AF$63/AF$64+SUM(AF287:AF$295)*(AF$64-AF$63)/AF$64*AG286)</f>
        <v>0</v>
      </c>
      <c r="AI286" s="35"/>
      <c r="AJ286" s="87">
        <f t="shared" si="713"/>
        <v>0</v>
      </c>
      <c r="AK286" s="77" t="str">
        <f t="shared" si="714"/>
        <v xml:space="preserve">   </v>
      </c>
      <c r="AL286" s="87">
        <f>IF($A286&gt;'Debt Service'!AJ$58, 0, SUM(AJ286:AJ$295)*AK286*AJ$63/AJ$64+SUM(AJ287:AJ$295)*(AJ$64-AJ$63)/AJ$64*AK286)</f>
        <v>0</v>
      </c>
      <c r="AM286" s="35"/>
      <c r="AN286" s="87">
        <f t="shared" si="715"/>
        <v>0</v>
      </c>
      <c r="AO286" s="77" t="str">
        <f t="shared" si="716"/>
        <v xml:space="preserve">   </v>
      </c>
      <c r="AP286" s="87">
        <f>IF($A286&gt;'Debt Service'!AN$58, 0, SUM(AN286:AN$295)*AO286*AN$63/AN$64+SUM(AN287:AN$295)*(AN$64-AN$63)/AN$64*AO286)</f>
        <v>0</v>
      </c>
      <c r="AQ286" s="35"/>
      <c r="AR286" s="87">
        <f t="shared" si="717"/>
        <v>0</v>
      </c>
      <c r="AS286" s="77" t="str">
        <f t="shared" si="718"/>
        <v xml:space="preserve">   </v>
      </c>
      <c r="AT286" s="87">
        <f>IF($A286&gt;'Debt Service'!AR$58, 0, SUM(AR286:AR$295)*AS286*AR$63/AR$64+SUM(AR287:AR$295)*(AR$64-AR$63)/AR$64*AS286)</f>
        <v>0</v>
      </c>
      <c r="AV286" s="35">
        <f t="shared" si="719"/>
        <v>0</v>
      </c>
      <c r="AW286" s="35">
        <f t="shared" si="720"/>
        <v>0</v>
      </c>
      <c r="AX286" s="35"/>
      <c r="AY286" s="87">
        <f t="shared" si="721"/>
        <v>0</v>
      </c>
      <c r="AZ286" s="77">
        <f t="shared" si="722"/>
        <v>4.3000000000000003E-2</v>
      </c>
      <c r="BA286" s="87">
        <f>(SUM(AY286:AY$295)*AZ286*AY$63/AY$64+SUM(AY287:AY$295)*(AY$64-AY$63)/AY$64*AZ286)</f>
        <v>0</v>
      </c>
      <c r="BB286" s="61"/>
      <c r="BC286" s="87">
        <f t="shared" si="723"/>
        <v>0</v>
      </c>
      <c r="BD286" s="77">
        <f t="shared" si="724"/>
        <v>4.3000000000000003E-2</v>
      </c>
      <c r="BE286" s="87">
        <f>IF($A286&gt;'Debt Service'!BC$58, 0, SUM(BC286:BC$295)*BD286*BC$63/BC$64+SUM(BC287:BC$295)*(BC$64-BC$63)/BC$64*BD286)</f>
        <v>0</v>
      </c>
      <c r="BF286" s="61"/>
      <c r="BG286" s="87">
        <f t="shared" si="725"/>
        <v>0</v>
      </c>
      <c r="BH286" s="77">
        <f t="shared" si="726"/>
        <v>4.3000000000000003E-2</v>
      </c>
      <c r="BI286" s="87">
        <f>IF($A286&gt;'Debt Service'!BG$58, 0, SUM(BG286:BG$295)*BH286*BG$63/BG$64+SUM(BG287:BG$295)*(BG$64-BG$63)/BG$64*BH286)</f>
        <v>0</v>
      </c>
      <c r="BJ286" s="61"/>
      <c r="BK286" s="35">
        <f t="shared" si="761"/>
        <v>0</v>
      </c>
      <c r="BL286" s="35">
        <f t="shared" si="762"/>
        <v>0</v>
      </c>
      <c r="BM286" s="8"/>
      <c r="BN286" s="87">
        <f t="shared" si="727"/>
        <v>0</v>
      </c>
      <c r="BO286" s="77">
        <f t="shared" si="728"/>
        <v>4.3000000000000003E-2</v>
      </c>
      <c r="BP286" s="87">
        <f>(SUM(BN286:BN$295)*BO286*BN$63/BN$64+SUM(BN287:BN$295)*(BN$64-BN$63)/BN$64*BO286)</f>
        <v>0</v>
      </c>
      <c r="BQ286" s="77"/>
      <c r="BR286" s="87">
        <f t="shared" si="729"/>
        <v>0</v>
      </c>
      <c r="BS286" s="77">
        <f t="shared" si="730"/>
        <v>4.3000000000000003E-2</v>
      </c>
      <c r="BT286" s="87">
        <f>IF($A286&gt;'Debt Service'!BR$58, 0, SUM(BR286:BR$295)*BS286*BR$63/BR$64+SUM(BR287:BR$295)*(BR$64-BR$63)/BR$64*BS286)</f>
        <v>3077596.0000000009</v>
      </c>
      <c r="BU286" s="87"/>
      <c r="BV286" s="35">
        <f t="shared" si="763"/>
        <v>0</v>
      </c>
      <c r="BW286" s="35">
        <f t="shared" si="764"/>
        <v>3077596.0000000009</v>
      </c>
      <c r="BX286" s="87"/>
      <c r="BY286" s="87"/>
      <c r="BZ286" s="77">
        <f t="shared" si="732"/>
        <v>4.3000000000000003E-2</v>
      </c>
      <c r="CA286" s="87">
        <f>(SUM(BY286:BY$295)*BZ286*BY$63/BY$64+SUM(BY287:BY$295)*(BY$64-BY$63)/BY$64*BZ286)</f>
        <v>0</v>
      </c>
      <c r="CB286" s="87"/>
      <c r="CC286" s="87">
        <f t="shared" si="733"/>
        <v>0</v>
      </c>
      <c r="CD286" s="77">
        <f t="shared" si="734"/>
        <v>4.3000000000000003E-2</v>
      </c>
      <c r="CE286" s="87">
        <f>IF(OR($A286&gt;'Debt Service'!CC$58,$A286&lt;CC$51), 0, SUM(CC286:CC$295)*CD286*CC$63/CC$64+SUM(CC287:CC$295)*(CC$64-CC$63)/CC$64*CD286)</f>
        <v>0</v>
      </c>
      <c r="CF286" s="87"/>
      <c r="CG286" s="87">
        <f t="shared" si="735"/>
        <v>0</v>
      </c>
      <c r="CH286" s="77">
        <f t="shared" si="736"/>
        <v>4.3000000000000003E-2</v>
      </c>
      <c r="CI286" s="87">
        <f>IF(OR($A286&gt;'Debt Service'!CG$58,$A286&lt;CG$51), 0, SUM(CG286:CG$295)*CH286*CG$63/CG$64+SUM(CG287:CG$295)*(CG$64-CG$63)/CG$64*CH286)</f>
        <v>3088389</v>
      </c>
      <c r="CJ286" s="87"/>
      <c r="CK286" s="87">
        <f t="shared" si="737"/>
        <v>0</v>
      </c>
      <c r="CL286" s="77">
        <f t="shared" si="738"/>
        <v>4.3000000000000003E-2</v>
      </c>
      <c r="CM286" s="87">
        <f>IF(OR($A286&gt;'Debt Service'!CK$58,$A286&lt;CK$51), 0, SUM(CK286:CK$295)*CL286*CK$63/CK$64+SUM(CK287:CK$295)*(CK$64-CK$63)/CK$64*CL286)</f>
        <v>3085379</v>
      </c>
      <c r="CN286" s="87"/>
      <c r="CO286" s="162">
        <f t="shared" si="739"/>
        <v>0</v>
      </c>
      <c r="CP286" s="87">
        <f t="shared" si="740"/>
        <v>6173768</v>
      </c>
      <c r="CQ286" s="87"/>
      <c r="CR286" s="87">
        <f t="shared" si="741"/>
        <v>0</v>
      </c>
      <c r="CS286" s="77">
        <f t="shared" si="742"/>
        <v>4.3000000000000003E-2</v>
      </c>
      <c r="CT286" s="87">
        <f>IF(OR($A286&gt;'Debt Service'!CR$58,$A286&lt;CR$51), 0, SUM(CR286:CR$295)*CS286*CR$63/CR$64+SUM(CR287:CR$295)*(CR$64-CR$63)/CR$64*CS286)</f>
        <v>0</v>
      </c>
      <c r="CU286" s="87"/>
      <c r="CV286" s="87">
        <f t="shared" si="743"/>
        <v>0</v>
      </c>
      <c r="CW286" s="77">
        <f t="shared" si="744"/>
        <v>4.3000000000000003E-2</v>
      </c>
      <c r="CX286" s="87">
        <f>IF(OR($A286&gt;'Debt Service'!CV$58,$A286&lt;CV$51), 0, SUM(CV286:CV$295)*CW286*CV$63/CV$64+SUM(CV287:CV$295)*(CV$64-CV$63)/CV$64*CW286)</f>
        <v>3079703</v>
      </c>
      <c r="CY286" s="87"/>
      <c r="CZ286" s="165">
        <f t="shared" si="745"/>
        <v>0</v>
      </c>
      <c r="DA286" s="165">
        <f t="shared" si="746"/>
        <v>3079703</v>
      </c>
      <c r="DB286" s="87"/>
      <c r="DC286" s="87">
        <f t="shared" si="747"/>
        <v>0</v>
      </c>
      <c r="DD286" s="77">
        <f t="shared" si="748"/>
        <v>4.3000000000000003E-2</v>
      </c>
      <c r="DE286" s="87">
        <f>IF($A286&gt;'Debt Service'!DC$58, 0, SUM(DC286:DC$295)*DD286*DC$63/DC$64+SUM(DC287:DC$295)*(DC$64-DC$63)/DC$64*DD286)</f>
        <v>0</v>
      </c>
      <c r="DF286" s="87"/>
      <c r="DG286" s="87">
        <f t="shared" si="749"/>
        <v>0</v>
      </c>
      <c r="DH286" s="77">
        <f t="shared" si="750"/>
        <v>4.3000000000000003E-2</v>
      </c>
      <c r="DI286" s="87">
        <f>IF($A286&gt;'Debt Service'!DG$58, 0, SUM(DG286:DG$295)*DH286*DG$63/DG$64+SUM(DG287:DG$295)*(DG$64-DG$63)/DG$64*DH286)</f>
        <v>0</v>
      </c>
      <c r="DJ286" s="87"/>
      <c r="DK286" s="87">
        <f t="shared" si="751"/>
        <v>0</v>
      </c>
      <c r="DL286" s="77">
        <f t="shared" si="752"/>
        <v>4.3000000000000003E-2</v>
      </c>
      <c r="DM286" s="87">
        <f>IF($A286&gt;'Debt Service'!DK$58, 0, SUM(DK286:DK$295)*DL286*DK$63/DK$64+SUM(DK287:DK$295)*(DK$64-DK$63)/DK$64*DL286)</f>
        <v>0</v>
      </c>
      <c r="DN286" s="87"/>
      <c r="DO286" s="87">
        <f t="shared" si="753"/>
        <v>0</v>
      </c>
      <c r="DP286" s="77">
        <f t="shared" si="754"/>
        <v>4.3000000000000003E-2</v>
      </c>
      <c r="DQ286" s="87">
        <f>IF($A286&gt;'Debt Service'!DO$58, 0, SUM(DO286:DO$295)*DP286*DO$63/DO$64+SUM(DO287:DO$295)*(DO$64-DO$63)/DO$64*DP286)</f>
        <v>0</v>
      </c>
      <c r="DR286" s="87"/>
      <c r="DS286" s="87">
        <f t="shared" si="755"/>
        <v>0</v>
      </c>
      <c r="DT286" s="77">
        <f t="shared" si="756"/>
        <v>4.3000000000000003E-2</v>
      </c>
      <c r="DU286" s="87">
        <f>IF($A286&gt;'Debt Service'!DS$58, 0, SUM(DS286:DS$295)*DT286*DS$63/DS$64+SUM(DS287:DS$295)*(DS$64-DS$63)/DS$64*DT286)</f>
        <v>0</v>
      </c>
      <c r="DV286" s="87"/>
      <c r="DW286" s="165">
        <f t="shared" si="765"/>
        <v>0</v>
      </c>
      <c r="DX286" s="165">
        <f t="shared" si="766"/>
        <v>12331067</v>
      </c>
      <c r="DY286" s="87"/>
      <c r="DZ286" s="53">
        <f t="shared" si="757"/>
        <v>2051</v>
      </c>
      <c r="EA286" s="35">
        <f t="shared" si="768"/>
        <v>0</v>
      </c>
      <c r="EB286" s="35">
        <f t="shared" si="759"/>
        <v>12331067</v>
      </c>
      <c r="EC286" s="77">
        <f>IF($A286&gt;2042, VLOOKUP($A286, Assumptions!$A$8:$D$44, Assumptions!$D$1, FALSE) +'Debt Service'!DS$307, MAX(EB286/SUM(EA286:EA$295), EC287))</f>
        <v>4.3000000000000003E-2</v>
      </c>
      <c r="ED286" s="172">
        <f t="shared" si="767"/>
        <v>28</v>
      </c>
      <c r="EE286" s="61"/>
    </row>
    <row r="287" spans="1:135" s="33" customFormat="1" outlineLevel="1">
      <c r="A287" s="7">
        <f t="shared" si="760"/>
        <v>2052</v>
      </c>
      <c r="B287" s="151">
        <f>Assumptions!B36</f>
        <v>5.3800000000000001E-2</v>
      </c>
      <c r="C287" s="151">
        <f>Assumptions!C36</f>
        <v>5.3800000000000001E-2</v>
      </c>
      <c r="D287" s="151">
        <f>Assumptions!D36</f>
        <v>3.5000000000000003E-2</v>
      </c>
      <c r="E287" s="151">
        <f>Assumptions!E36</f>
        <v>5.2999999999999999E-2</v>
      </c>
      <c r="F287" s="8"/>
      <c r="G287" s="8"/>
      <c r="H287" s="8"/>
      <c r="I287" s="8"/>
      <c r="J287" s="8"/>
      <c r="K287" s="8"/>
      <c r="L287" s="8"/>
      <c r="M287" s="87">
        <f t="shared" si="701"/>
        <v>0</v>
      </c>
      <c r="N287" s="77" t="str">
        <f t="shared" si="702"/>
        <v xml:space="preserve">   </v>
      </c>
      <c r="O287" s="87">
        <f>IF($A287&gt;'Debt Service'!M$58, 0, SUM(M287:M$295)*N287*M$63/M$64+SUM(M288:M$295)*(M$64-M$63)/M$64*N287)</f>
        <v>0</v>
      </c>
      <c r="P287" s="35"/>
      <c r="Q287" s="87">
        <f t="shared" si="703"/>
        <v>0</v>
      </c>
      <c r="R287" s="77" t="str">
        <f t="shared" si="704"/>
        <v xml:space="preserve">   </v>
      </c>
      <c r="S287" s="87">
        <f>IF($A287&gt;'Debt Service'!Q$58, 0, SUM(Q287:Q$295)*R287*Q$63/Q$64+SUM(Q288:Q$295)*(Q$64-Q$63)/Q$64*R287)</f>
        <v>0</v>
      </c>
      <c r="T287" s="35"/>
      <c r="U287" s="87">
        <f t="shared" si="705"/>
        <v>0</v>
      </c>
      <c r="V287" s="35">
        <f t="shared" si="706"/>
        <v>0</v>
      </c>
      <c r="W287" s="35"/>
      <c r="X287" s="87">
        <f t="shared" si="707"/>
        <v>0</v>
      </c>
      <c r="Y287" s="77" t="str">
        <f t="shared" si="708"/>
        <v xml:space="preserve">   </v>
      </c>
      <c r="Z287" s="87">
        <f>IF($A287&gt;'Debt Service'!X$58, 0, SUM(X287:X$295)*Y287*X$63/X$64+SUM(X288:X$295)*(X$64-X$63)/X$64*Y287)</f>
        <v>0</v>
      </c>
      <c r="AA287" s="87"/>
      <c r="AB287" s="87">
        <f t="shared" si="709"/>
        <v>0</v>
      </c>
      <c r="AC287" s="77">
        <f t="shared" si="710"/>
        <v>4.3000000000000003E-2</v>
      </c>
      <c r="AD287" s="87">
        <f>(SUM(AB287:AB$295)*AC287*AB$63/AB$64+SUM(AB288:AB$295)*(AB$64-AB$63)/AB$64*AC287)</f>
        <v>0</v>
      </c>
      <c r="AE287" s="35"/>
      <c r="AF287" s="87">
        <f t="shared" si="711"/>
        <v>0</v>
      </c>
      <c r="AG287" s="77">
        <f t="shared" si="712"/>
        <v>4.3000000000000003E-2</v>
      </c>
      <c r="AH287" s="87">
        <f>(SUM(AF287:AF$295)*AG287*AF$63/AF$64+SUM(AF288:AF$295)*(AF$64-AF$63)/AF$64*AG287)</f>
        <v>0</v>
      </c>
      <c r="AI287" s="35"/>
      <c r="AJ287" s="87">
        <f t="shared" si="713"/>
        <v>0</v>
      </c>
      <c r="AK287" s="77" t="str">
        <f t="shared" si="714"/>
        <v xml:space="preserve">   </v>
      </c>
      <c r="AL287" s="87">
        <f>IF($A287&gt;'Debt Service'!AJ$58, 0, SUM(AJ287:AJ$295)*AK287*AJ$63/AJ$64+SUM(AJ288:AJ$295)*(AJ$64-AJ$63)/AJ$64*AK287)</f>
        <v>0</v>
      </c>
      <c r="AM287" s="35"/>
      <c r="AN287" s="87">
        <f t="shared" si="715"/>
        <v>0</v>
      </c>
      <c r="AO287" s="77" t="str">
        <f t="shared" si="716"/>
        <v xml:space="preserve">   </v>
      </c>
      <c r="AP287" s="87">
        <f>IF($A287&gt;'Debt Service'!AN$58, 0, SUM(AN287:AN$295)*AO287*AN$63/AN$64+SUM(AN288:AN$295)*(AN$64-AN$63)/AN$64*AO287)</f>
        <v>0</v>
      </c>
      <c r="AQ287" s="35"/>
      <c r="AR287" s="87">
        <f t="shared" si="717"/>
        <v>0</v>
      </c>
      <c r="AS287" s="77" t="str">
        <f t="shared" si="718"/>
        <v xml:space="preserve">   </v>
      </c>
      <c r="AT287" s="87">
        <f>IF($A287&gt;'Debt Service'!AR$58, 0, SUM(AR287:AR$295)*AS287*AR$63/AR$64+SUM(AR288:AR$295)*(AR$64-AR$63)/AR$64*AS287)</f>
        <v>0</v>
      </c>
      <c r="AV287" s="35">
        <f t="shared" si="719"/>
        <v>0</v>
      </c>
      <c r="AW287" s="35">
        <f t="shared" si="720"/>
        <v>0</v>
      </c>
      <c r="AX287" s="35"/>
      <c r="AY287" s="87">
        <f t="shared" si="721"/>
        <v>0</v>
      </c>
      <c r="AZ287" s="77">
        <f t="shared" si="722"/>
        <v>4.3000000000000003E-2</v>
      </c>
      <c r="BA287" s="87">
        <f>(SUM(AY287:AY$295)*AZ287*AY$63/AY$64+SUM(AY288:AY$295)*(AY$64-AY$63)/AY$64*AZ287)</f>
        <v>0</v>
      </c>
      <c r="BB287" s="61"/>
      <c r="BC287" s="87">
        <f t="shared" si="723"/>
        <v>0</v>
      </c>
      <c r="BD287" s="77">
        <f t="shared" si="724"/>
        <v>4.3000000000000003E-2</v>
      </c>
      <c r="BE287" s="87">
        <f>IF($A287&gt;'Debt Service'!BC$58, 0, SUM(BC287:BC$295)*BD287*BC$63/BC$64+SUM(BC288:BC$295)*(BC$64-BC$63)/BC$64*BD287)</f>
        <v>0</v>
      </c>
      <c r="BF287" s="61"/>
      <c r="BG287" s="87">
        <f t="shared" si="725"/>
        <v>0</v>
      </c>
      <c r="BH287" s="77">
        <f t="shared" si="726"/>
        <v>4.3000000000000003E-2</v>
      </c>
      <c r="BI287" s="87">
        <f>IF($A287&gt;'Debt Service'!BG$58, 0, SUM(BG287:BG$295)*BH287*BG$63/BG$64+SUM(BG288:BG$295)*(BG$64-BG$63)/BG$64*BH287)</f>
        <v>0</v>
      </c>
      <c r="BJ287" s="61"/>
      <c r="BK287" s="35">
        <f t="shared" si="761"/>
        <v>0</v>
      </c>
      <c r="BL287" s="35">
        <f t="shared" si="762"/>
        <v>0</v>
      </c>
      <c r="BM287" s="8"/>
      <c r="BN287" s="87">
        <f t="shared" si="727"/>
        <v>0</v>
      </c>
      <c r="BO287" s="77">
        <f t="shared" si="728"/>
        <v>4.3000000000000003E-2</v>
      </c>
      <c r="BP287" s="87">
        <f>(SUM(BN287:BN$295)*BO287*BN$63/BN$64+SUM(BN288:BN$295)*(BN$64-BN$63)/BN$64*BO287)</f>
        <v>0</v>
      </c>
      <c r="BQ287" s="77"/>
      <c r="BR287" s="87">
        <f t="shared" si="729"/>
        <v>0</v>
      </c>
      <c r="BS287" s="77">
        <f t="shared" si="730"/>
        <v>4.3000000000000003E-2</v>
      </c>
      <c r="BT287" s="87">
        <f>IF($A287&gt;'Debt Service'!BR$58, 0, SUM(BR287:BR$295)*BS287*BR$63/BR$64+SUM(BR288:BR$295)*(BR$64-BR$63)/BR$64*BS287)</f>
        <v>3077596.0000000009</v>
      </c>
      <c r="BU287" s="87"/>
      <c r="BV287" s="35">
        <f t="shared" si="763"/>
        <v>0</v>
      </c>
      <c r="BW287" s="35">
        <f t="shared" si="764"/>
        <v>3077596.0000000009</v>
      </c>
      <c r="BX287" s="87"/>
      <c r="BY287" s="87"/>
      <c r="BZ287" s="77">
        <f t="shared" si="732"/>
        <v>4.3000000000000003E-2</v>
      </c>
      <c r="CA287" s="87">
        <f>(SUM(BY287:BY$295)*BZ287*BY$63/BY$64+SUM(BY288:BY$295)*(BY$64-BY$63)/BY$64*BZ287)</f>
        <v>0</v>
      </c>
      <c r="CB287" s="87"/>
      <c r="CC287" s="87">
        <f t="shared" si="733"/>
        <v>0</v>
      </c>
      <c r="CD287" s="77">
        <f t="shared" si="734"/>
        <v>4.3000000000000003E-2</v>
      </c>
      <c r="CE287" s="87">
        <f>IF(OR($A287&gt;'Debt Service'!CC$58,$A287&lt;CC$51), 0, SUM(CC287:CC$295)*CD287*CC$63/CC$64+SUM(CC288:CC$295)*(CC$64-CC$63)/CC$64*CD287)</f>
        <v>0</v>
      </c>
      <c r="CF287" s="87"/>
      <c r="CG287" s="87">
        <f t="shared" si="735"/>
        <v>0</v>
      </c>
      <c r="CH287" s="77">
        <f t="shared" si="736"/>
        <v>4.3000000000000003E-2</v>
      </c>
      <c r="CI287" s="87">
        <f>IF(OR($A287&gt;'Debt Service'!CG$58,$A287&lt;CG$51), 0, SUM(CG287:CG$295)*CH287*CG$63/CG$64+SUM(CG288:CG$295)*(CG$64-CG$63)/CG$64*CH287)</f>
        <v>3088389</v>
      </c>
      <c r="CJ287" s="87"/>
      <c r="CK287" s="87">
        <f t="shared" si="737"/>
        <v>0</v>
      </c>
      <c r="CL287" s="77">
        <f t="shared" si="738"/>
        <v>4.3000000000000003E-2</v>
      </c>
      <c r="CM287" s="87">
        <f>IF(OR($A287&gt;'Debt Service'!CK$58,$A287&lt;CK$51), 0, SUM(CK287:CK$295)*CL287*CK$63/CK$64+SUM(CK288:CK$295)*(CK$64-CK$63)/CK$64*CL287)</f>
        <v>3085379</v>
      </c>
      <c r="CN287" s="87"/>
      <c r="CO287" s="162">
        <f t="shared" si="739"/>
        <v>0</v>
      </c>
      <c r="CP287" s="87">
        <f t="shared" si="740"/>
        <v>6173768</v>
      </c>
      <c r="CQ287" s="87"/>
      <c r="CR287" s="87">
        <f t="shared" si="741"/>
        <v>0</v>
      </c>
      <c r="CS287" s="77">
        <f t="shared" si="742"/>
        <v>4.3000000000000003E-2</v>
      </c>
      <c r="CT287" s="87">
        <f>IF(OR($A287&gt;'Debt Service'!CR$58,$A287&lt;CR$51), 0, SUM(CR287:CR$295)*CS287*CR$63/CR$64+SUM(CR288:CR$295)*(CR$64-CR$63)/CR$64*CS287)</f>
        <v>0</v>
      </c>
      <c r="CU287" s="87"/>
      <c r="CV287" s="87">
        <f t="shared" si="743"/>
        <v>71621000</v>
      </c>
      <c r="CW287" s="77">
        <f t="shared" si="744"/>
        <v>4.3000000000000003E-2</v>
      </c>
      <c r="CX287" s="87">
        <f>IF(OR($A287&gt;'Debt Service'!CV$58,$A287&lt;CV$51), 0, SUM(CV287:CV$295)*CW287*CV$63/CV$64+SUM(CV288:CV$295)*(CV$64-CV$63)/CV$64*CW287)</f>
        <v>769925.75000000012</v>
      </c>
      <c r="CY287" s="87"/>
      <c r="CZ287" s="165">
        <f t="shared" si="745"/>
        <v>71621000</v>
      </c>
      <c r="DA287" s="165">
        <f t="shared" si="746"/>
        <v>769925.75000000012</v>
      </c>
      <c r="DB287" s="87"/>
      <c r="DC287" s="87">
        <f t="shared" si="747"/>
        <v>0</v>
      </c>
      <c r="DD287" s="77">
        <f t="shared" si="748"/>
        <v>4.3000000000000003E-2</v>
      </c>
      <c r="DE287" s="87">
        <f>IF($A287&gt;'Debt Service'!DC$58, 0, SUM(DC287:DC$295)*DD287*DC$63/DC$64+SUM(DC288:DC$295)*(DC$64-DC$63)/DC$64*DD287)</f>
        <v>0</v>
      </c>
      <c r="DF287" s="87"/>
      <c r="DG287" s="87">
        <f t="shared" si="749"/>
        <v>0</v>
      </c>
      <c r="DH287" s="77">
        <f t="shared" si="750"/>
        <v>4.3000000000000003E-2</v>
      </c>
      <c r="DI287" s="87">
        <f>IF($A287&gt;'Debt Service'!DG$58, 0, SUM(DG287:DG$295)*DH287*DG$63/DG$64+SUM(DG288:DG$295)*(DG$64-DG$63)/DG$64*DH287)</f>
        <v>0</v>
      </c>
      <c r="DJ287" s="87"/>
      <c r="DK287" s="87">
        <f t="shared" si="751"/>
        <v>0</v>
      </c>
      <c r="DL287" s="77">
        <f t="shared" si="752"/>
        <v>4.3000000000000003E-2</v>
      </c>
      <c r="DM287" s="87">
        <f>IF($A287&gt;'Debt Service'!DK$58, 0, SUM(DK287:DK$295)*DL287*DK$63/DK$64+SUM(DK288:DK$295)*(DK$64-DK$63)/DK$64*DL287)</f>
        <v>0</v>
      </c>
      <c r="DN287" s="87"/>
      <c r="DO287" s="87">
        <f t="shared" si="753"/>
        <v>0</v>
      </c>
      <c r="DP287" s="77">
        <f t="shared" si="754"/>
        <v>4.3000000000000003E-2</v>
      </c>
      <c r="DQ287" s="87">
        <f>IF($A287&gt;'Debt Service'!DO$58, 0, SUM(DO287:DO$295)*DP287*DO$63/DO$64+SUM(DO288:DO$295)*(DO$64-DO$63)/DO$64*DP287)</f>
        <v>0</v>
      </c>
      <c r="DR287" s="87"/>
      <c r="DS287" s="87">
        <f t="shared" si="755"/>
        <v>0</v>
      </c>
      <c r="DT287" s="77">
        <f t="shared" si="756"/>
        <v>4.3000000000000003E-2</v>
      </c>
      <c r="DU287" s="87">
        <f>IF($A287&gt;'Debt Service'!DS$58, 0, SUM(DS287:DS$295)*DT287*DS$63/DS$64+SUM(DS288:DS$295)*(DS$64-DS$63)/DS$64*DT287)</f>
        <v>0</v>
      </c>
      <c r="DV287" s="87"/>
      <c r="DW287" s="165">
        <f t="shared" si="765"/>
        <v>71621000</v>
      </c>
      <c r="DX287" s="165">
        <f t="shared" si="766"/>
        <v>10021289.75</v>
      </c>
      <c r="DY287" s="87"/>
      <c r="DZ287" s="53">
        <f t="shared" si="757"/>
        <v>2052</v>
      </c>
      <c r="EA287" s="35">
        <f t="shared" si="768"/>
        <v>71621000</v>
      </c>
      <c r="EB287" s="35">
        <f t="shared" si="759"/>
        <v>10021289.75</v>
      </c>
      <c r="EC287" s="77">
        <f>IF($A287&gt;2042, VLOOKUP($A287, Assumptions!$A$8:$D$44, Assumptions!$D$1, FALSE) +'Debt Service'!DS$307, MAX(EB287/SUM(EA287:EA$295), EC288))</f>
        <v>4.3000000000000003E-2</v>
      </c>
      <c r="ED287" s="172">
        <f t="shared" si="767"/>
        <v>29</v>
      </c>
      <c r="EE287" s="61"/>
    </row>
    <row r="288" spans="1:135" s="33" customFormat="1" outlineLevel="1">
      <c r="A288" s="7">
        <f t="shared" si="760"/>
        <v>2053</v>
      </c>
      <c r="B288" s="151">
        <f>Assumptions!B37</f>
        <v>5.3800000000000001E-2</v>
      </c>
      <c r="C288" s="151">
        <f>Assumptions!C37</f>
        <v>5.3800000000000001E-2</v>
      </c>
      <c r="D288" s="151">
        <f>Assumptions!D37</f>
        <v>3.5000000000000003E-2</v>
      </c>
      <c r="E288" s="151">
        <f>Assumptions!E37</f>
        <v>5.2999999999999999E-2</v>
      </c>
      <c r="F288" s="8"/>
      <c r="G288" s="8"/>
      <c r="H288" s="8"/>
      <c r="I288" s="8"/>
      <c r="J288" s="8"/>
      <c r="K288" s="8"/>
      <c r="L288" s="8"/>
      <c r="M288" s="87">
        <f t="shared" si="701"/>
        <v>0</v>
      </c>
      <c r="N288" s="77" t="str">
        <f t="shared" si="702"/>
        <v xml:space="preserve">   </v>
      </c>
      <c r="O288" s="87">
        <f>IF($A288&gt;'Debt Service'!M$58, 0, SUM(M288:M$295)*N288*M$63/M$64+SUM(M289:M$295)*(M$64-M$63)/M$64*N288)</f>
        <v>0</v>
      </c>
      <c r="P288" s="35"/>
      <c r="Q288" s="87">
        <f t="shared" si="703"/>
        <v>0</v>
      </c>
      <c r="R288" s="77" t="str">
        <f t="shared" si="704"/>
        <v xml:space="preserve">   </v>
      </c>
      <c r="S288" s="87">
        <f>IF($A288&gt;'Debt Service'!Q$58, 0, SUM(Q288:Q$295)*R288*Q$63/Q$64+SUM(Q289:Q$295)*(Q$64-Q$63)/Q$64*R288)</f>
        <v>0</v>
      </c>
      <c r="T288" s="35"/>
      <c r="U288" s="87">
        <f t="shared" si="705"/>
        <v>0</v>
      </c>
      <c r="V288" s="35">
        <f t="shared" si="706"/>
        <v>0</v>
      </c>
      <c r="W288" s="35"/>
      <c r="X288" s="87">
        <f t="shared" si="707"/>
        <v>0</v>
      </c>
      <c r="Y288" s="77" t="str">
        <f t="shared" si="708"/>
        <v xml:space="preserve">   </v>
      </c>
      <c r="Z288" s="87">
        <f>IF($A288&gt;'Debt Service'!X$58, 0, SUM(X288:X$295)*Y288*X$63/X$64+SUM(X289:X$295)*(X$64-X$63)/X$64*Y288)</f>
        <v>0</v>
      </c>
      <c r="AA288" s="87"/>
      <c r="AB288" s="87">
        <f t="shared" si="709"/>
        <v>0</v>
      </c>
      <c r="AC288" s="77">
        <f t="shared" si="710"/>
        <v>4.3000000000000003E-2</v>
      </c>
      <c r="AD288" s="87">
        <f>(SUM(AB288:AB$295)*AC288*AB$63/AB$64+SUM(AB289:AB$295)*(AB$64-AB$63)/AB$64*AC288)</f>
        <v>0</v>
      </c>
      <c r="AE288" s="35"/>
      <c r="AF288" s="87">
        <f t="shared" si="711"/>
        <v>0</v>
      </c>
      <c r="AG288" s="77">
        <f t="shared" si="712"/>
        <v>4.3000000000000003E-2</v>
      </c>
      <c r="AH288" s="87">
        <f>(SUM(AF288:AF$295)*AG288*AF$63/AF$64+SUM(AF289:AF$295)*(AF$64-AF$63)/AF$64*AG288)</f>
        <v>0</v>
      </c>
      <c r="AI288" s="35"/>
      <c r="AJ288" s="87">
        <f t="shared" si="713"/>
        <v>0</v>
      </c>
      <c r="AK288" s="77" t="str">
        <f t="shared" si="714"/>
        <v xml:space="preserve">   </v>
      </c>
      <c r="AL288" s="87">
        <f>IF($A288&gt;'Debt Service'!AJ$58, 0, SUM(AJ288:AJ$295)*AK288*AJ$63/AJ$64+SUM(AJ289:AJ$295)*(AJ$64-AJ$63)/AJ$64*AK288)</f>
        <v>0</v>
      </c>
      <c r="AM288" s="35"/>
      <c r="AN288" s="87">
        <f t="shared" si="715"/>
        <v>0</v>
      </c>
      <c r="AO288" s="77" t="str">
        <f t="shared" si="716"/>
        <v xml:space="preserve">   </v>
      </c>
      <c r="AP288" s="87">
        <f>IF($A288&gt;'Debt Service'!AN$58, 0, SUM(AN288:AN$295)*AO288*AN$63/AN$64+SUM(AN289:AN$295)*(AN$64-AN$63)/AN$64*AO288)</f>
        <v>0</v>
      </c>
      <c r="AQ288" s="35"/>
      <c r="AR288" s="87">
        <f t="shared" si="717"/>
        <v>0</v>
      </c>
      <c r="AS288" s="77" t="str">
        <f t="shared" si="718"/>
        <v xml:space="preserve">   </v>
      </c>
      <c r="AT288" s="87">
        <f>IF($A288&gt;'Debt Service'!AR$58, 0, SUM(AR288:AR$295)*AS288*AR$63/AR$64+SUM(AR289:AR$295)*(AR$64-AR$63)/AR$64*AS288)</f>
        <v>0</v>
      </c>
      <c r="AV288" s="35">
        <f t="shared" si="719"/>
        <v>0</v>
      </c>
      <c r="AW288" s="35">
        <f t="shared" si="720"/>
        <v>0</v>
      </c>
      <c r="AX288" s="35"/>
      <c r="AY288" s="87">
        <f t="shared" si="721"/>
        <v>0</v>
      </c>
      <c r="AZ288" s="77">
        <f t="shared" si="722"/>
        <v>4.3000000000000003E-2</v>
      </c>
      <c r="BA288" s="87">
        <f>(SUM(AY288:AY$295)*AZ288*AY$63/AY$64+SUM(AY289:AY$295)*(AY$64-AY$63)/AY$64*AZ288)</f>
        <v>0</v>
      </c>
      <c r="BB288" s="61"/>
      <c r="BC288" s="87">
        <f t="shared" si="723"/>
        <v>0</v>
      </c>
      <c r="BD288" s="77">
        <f t="shared" si="724"/>
        <v>4.3000000000000003E-2</v>
      </c>
      <c r="BE288" s="87">
        <f>IF($A288&gt;'Debt Service'!BC$58, 0, SUM(BC288:BC$295)*BD288*BC$63/BC$64+SUM(BC289:BC$295)*(BC$64-BC$63)/BC$64*BD288)</f>
        <v>0</v>
      </c>
      <c r="BF288" s="61"/>
      <c r="BG288" s="87">
        <f t="shared" si="725"/>
        <v>0</v>
      </c>
      <c r="BH288" s="77">
        <f t="shared" si="726"/>
        <v>4.3000000000000003E-2</v>
      </c>
      <c r="BI288" s="87">
        <f>IF($A288&gt;'Debt Service'!BG$58, 0, SUM(BG288:BG$295)*BH288*BG$63/BG$64+SUM(BG289:BG$295)*(BG$64-BG$63)/BG$64*BH288)</f>
        <v>0</v>
      </c>
      <c r="BJ288" s="61"/>
      <c r="BK288" s="35">
        <f t="shared" si="761"/>
        <v>0</v>
      </c>
      <c r="BL288" s="35">
        <f t="shared" si="762"/>
        <v>0</v>
      </c>
      <c r="BM288" s="8"/>
      <c r="BN288" s="87">
        <f t="shared" si="727"/>
        <v>0</v>
      </c>
      <c r="BO288" s="77">
        <f t="shared" si="728"/>
        <v>4.3000000000000003E-2</v>
      </c>
      <c r="BP288" s="87">
        <f>(SUM(BN288:BN$295)*BO288*BN$63/BN$64+SUM(BN289:BN$295)*(BN$64-BN$63)/BN$64*BO288)</f>
        <v>0</v>
      </c>
      <c r="BQ288" s="77"/>
      <c r="BR288" s="87">
        <f t="shared" si="729"/>
        <v>0</v>
      </c>
      <c r="BS288" s="77">
        <f t="shared" si="730"/>
        <v>4.3000000000000003E-2</v>
      </c>
      <c r="BT288" s="87">
        <f>IF($A288&gt;'Debt Service'!BR$58, 0, SUM(BR288:BR$295)*BS288*BR$63/BR$64+SUM(BR289:BR$295)*(BR$64-BR$63)/BR$64*BS288)</f>
        <v>3077596.0000000009</v>
      </c>
      <c r="BU288" s="87"/>
      <c r="BV288" s="35">
        <f t="shared" si="763"/>
        <v>0</v>
      </c>
      <c r="BW288" s="35">
        <f t="shared" si="764"/>
        <v>3077596.0000000009</v>
      </c>
      <c r="BX288" s="87"/>
      <c r="BY288" s="87"/>
      <c r="BZ288" s="77">
        <f t="shared" si="732"/>
        <v>4.3000000000000003E-2</v>
      </c>
      <c r="CA288" s="87">
        <f>(SUM(BY288:BY$295)*BZ288*BY$63/BY$64+SUM(BY289:BY$295)*(BY$64-BY$63)/BY$64*BZ288)</f>
        <v>0</v>
      </c>
      <c r="CB288" s="87"/>
      <c r="CC288" s="87">
        <f t="shared" si="733"/>
        <v>0</v>
      </c>
      <c r="CD288" s="77">
        <f t="shared" si="734"/>
        <v>4.3000000000000003E-2</v>
      </c>
      <c r="CE288" s="87">
        <f>IF(OR($A288&gt;'Debt Service'!CC$58,$A288&lt;CC$51), 0, SUM(CC288:CC$295)*CD288*CC$63/CC$64+SUM(CC289:CC$295)*(CC$64-CC$63)/CC$64*CD288)</f>
        <v>0</v>
      </c>
      <c r="CF288" s="87"/>
      <c r="CG288" s="87">
        <f t="shared" si="735"/>
        <v>0</v>
      </c>
      <c r="CH288" s="77">
        <f t="shared" si="736"/>
        <v>4.3000000000000003E-2</v>
      </c>
      <c r="CI288" s="87">
        <f>IF(OR($A288&gt;'Debt Service'!CG$58,$A288&lt;CG$51), 0, SUM(CG288:CG$295)*CH288*CG$63/CG$64+SUM(CG289:CG$295)*(CG$64-CG$63)/CG$64*CH288)</f>
        <v>3088389</v>
      </c>
      <c r="CJ288" s="87"/>
      <c r="CK288" s="87">
        <f t="shared" si="737"/>
        <v>0</v>
      </c>
      <c r="CL288" s="77">
        <f t="shared" si="738"/>
        <v>4.3000000000000003E-2</v>
      </c>
      <c r="CM288" s="87">
        <f>IF(OR($A288&gt;'Debt Service'!CK$58,$A288&lt;CK$51), 0, SUM(CK288:CK$295)*CL288*CK$63/CK$64+SUM(CK289:CK$295)*(CK$64-CK$63)/CK$64*CL288)</f>
        <v>3085379</v>
      </c>
      <c r="CN288" s="87"/>
      <c r="CO288" s="162">
        <f t="shared" si="739"/>
        <v>0</v>
      </c>
      <c r="CP288" s="87">
        <f t="shared" si="740"/>
        <v>6173768</v>
      </c>
      <c r="CQ288" s="87"/>
      <c r="CR288" s="87">
        <f t="shared" si="741"/>
        <v>0</v>
      </c>
      <c r="CS288" s="77">
        <f t="shared" si="742"/>
        <v>4.3000000000000003E-2</v>
      </c>
      <c r="CT288" s="87">
        <f>IF(OR($A288&gt;'Debt Service'!CR$58,$A288&lt;CR$51), 0, SUM(CR288:CR$295)*CS288*CR$63/CR$64+SUM(CR289:CR$295)*(CR$64-CR$63)/CR$64*CS288)</f>
        <v>0</v>
      </c>
      <c r="CU288" s="87"/>
      <c r="CV288" s="87">
        <f t="shared" si="743"/>
        <v>0</v>
      </c>
      <c r="CW288" s="77">
        <f t="shared" si="744"/>
        <v>4.3000000000000003E-2</v>
      </c>
      <c r="CX288" s="87">
        <f>IF(OR($A288&gt;'Debt Service'!CV$58,$A288&lt;CV$51), 0, SUM(CV288:CV$295)*CW288*CV$63/CV$64+SUM(CV289:CV$295)*(CV$64-CV$63)/CV$64*CW288)</f>
        <v>0</v>
      </c>
      <c r="CY288" s="87"/>
      <c r="CZ288" s="165">
        <f t="shared" si="745"/>
        <v>0</v>
      </c>
      <c r="DA288" s="165">
        <f t="shared" si="746"/>
        <v>0</v>
      </c>
      <c r="DB288" s="87"/>
      <c r="DC288" s="87">
        <f t="shared" si="747"/>
        <v>0</v>
      </c>
      <c r="DD288" s="77">
        <f t="shared" si="748"/>
        <v>4.3000000000000003E-2</v>
      </c>
      <c r="DE288" s="87">
        <f>IF($A288&gt;'Debt Service'!DC$58, 0, SUM(DC288:DC$295)*DD288*DC$63/DC$64+SUM(DC289:DC$295)*(DC$64-DC$63)/DC$64*DD288)</f>
        <v>0</v>
      </c>
      <c r="DF288" s="87"/>
      <c r="DG288" s="87">
        <f t="shared" si="749"/>
        <v>0</v>
      </c>
      <c r="DH288" s="77">
        <f t="shared" si="750"/>
        <v>4.3000000000000003E-2</v>
      </c>
      <c r="DI288" s="87">
        <f>IF($A288&gt;'Debt Service'!DG$58, 0, SUM(DG288:DG$295)*DH288*DG$63/DG$64+SUM(DG289:DG$295)*(DG$64-DG$63)/DG$64*DH288)</f>
        <v>0</v>
      </c>
      <c r="DJ288" s="87"/>
      <c r="DK288" s="87">
        <f t="shared" si="751"/>
        <v>0</v>
      </c>
      <c r="DL288" s="77">
        <f t="shared" si="752"/>
        <v>4.3000000000000003E-2</v>
      </c>
      <c r="DM288" s="87">
        <f>IF($A288&gt;'Debt Service'!DK$58, 0, SUM(DK288:DK$295)*DL288*DK$63/DK$64+SUM(DK289:DK$295)*(DK$64-DK$63)/DK$64*DL288)</f>
        <v>0</v>
      </c>
      <c r="DN288" s="87"/>
      <c r="DO288" s="87">
        <f t="shared" si="753"/>
        <v>0</v>
      </c>
      <c r="DP288" s="77">
        <f t="shared" si="754"/>
        <v>4.3000000000000003E-2</v>
      </c>
      <c r="DQ288" s="87">
        <f>IF($A288&gt;'Debt Service'!DO$58, 0, SUM(DO288:DO$295)*DP288*DO$63/DO$64+SUM(DO289:DO$295)*(DO$64-DO$63)/DO$64*DP288)</f>
        <v>0</v>
      </c>
      <c r="DR288" s="87"/>
      <c r="DS288" s="87">
        <f t="shared" si="755"/>
        <v>0</v>
      </c>
      <c r="DT288" s="77">
        <f t="shared" si="756"/>
        <v>4.3000000000000003E-2</v>
      </c>
      <c r="DU288" s="87">
        <f>IF($A288&gt;'Debt Service'!DS$58, 0, SUM(DS288:DS$295)*DT288*DS$63/DS$64+SUM(DS289:DS$295)*(DS$64-DS$63)/DS$64*DT288)</f>
        <v>0</v>
      </c>
      <c r="DV288" s="87"/>
      <c r="DW288" s="165">
        <f t="shared" si="765"/>
        <v>0</v>
      </c>
      <c r="DX288" s="165">
        <f t="shared" si="766"/>
        <v>9251364</v>
      </c>
      <c r="DY288" s="87"/>
      <c r="DZ288" s="53">
        <f t="shared" si="757"/>
        <v>2053</v>
      </c>
      <c r="EA288" s="35">
        <f t="shared" si="768"/>
        <v>0</v>
      </c>
      <c r="EB288" s="35">
        <f t="shared" si="759"/>
        <v>9251364</v>
      </c>
      <c r="EC288" s="77">
        <f>IF($A288&gt;2042, VLOOKUP($A288, Assumptions!$A$8:$D$44, Assumptions!$D$1, FALSE) +'Debt Service'!DS$307, MAX(EB288/SUM(EA288:EA$295), EC289))</f>
        <v>4.3000000000000003E-2</v>
      </c>
      <c r="ED288" s="172">
        <f t="shared" si="767"/>
        <v>30</v>
      </c>
      <c r="EE288" s="61"/>
    </row>
    <row r="289" spans="1:135" s="33" customFormat="1" outlineLevel="1">
      <c r="A289" s="7">
        <f t="shared" si="760"/>
        <v>2054</v>
      </c>
      <c r="B289" s="151">
        <f>Assumptions!B38</f>
        <v>5.3800000000000001E-2</v>
      </c>
      <c r="C289" s="151">
        <f>Assumptions!C38</f>
        <v>5.3800000000000001E-2</v>
      </c>
      <c r="D289" s="151">
        <f>Assumptions!D38</f>
        <v>3.5000000000000003E-2</v>
      </c>
      <c r="E289" s="151">
        <f>Assumptions!E38</f>
        <v>5.2999999999999999E-2</v>
      </c>
      <c r="F289" s="8"/>
      <c r="G289" s="8"/>
      <c r="H289" s="8"/>
      <c r="I289" s="8"/>
      <c r="J289" s="8"/>
      <c r="K289" s="8"/>
      <c r="L289" s="8"/>
      <c r="M289" s="87">
        <f t="shared" si="701"/>
        <v>0</v>
      </c>
      <c r="N289" s="77" t="str">
        <f t="shared" si="702"/>
        <v xml:space="preserve">   </v>
      </c>
      <c r="O289" s="87">
        <f>IF($A289&gt;'Debt Service'!M$58, 0, SUM(M289:M$295)*N289*M$63/M$64+SUM(M290:M$295)*(M$64-M$63)/M$64*N289)</f>
        <v>0</v>
      </c>
      <c r="P289" s="35"/>
      <c r="Q289" s="87">
        <f t="shared" si="703"/>
        <v>0</v>
      </c>
      <c r="R289" s="77" t="str">
        <f t="shared" si="704"/>
        <v xml:space="preserve">   </v>
      </c>
      <c r="S289" s="87">
        <f>IF($A289&gt;'Debt Service'!Q$58, 0, SUM(Q289:Q$295)*R289*Q$63/Q$64+SUM(Q290:Q$295)*(Q$64-Q$63)/Q$64*R289)</f>
        <v>0</v>
      </c>
      <c r="T289" s="35"/>
      <c r="U289" s="87">
        <f t="shared" si="705"/>
        <v>0</v>
      </c>
      <c r="V289" s="35">
        <f t="shared" si="706"/>
        <v>0</v>
      </c>
      <c r="W289" s="35"/>
      <c r="X289" s="87">
        <f t="shared" si="707"/>
        <v>0</v>
      </c>
      <c r="Y289" s="77" t="str">
        <f t="shared" si="708"/>
        <v xml:space="preserve">   </v>
      </c>
      <c r="Z289" s="87">
        <f>IF($A289&gt;'Debt Service'!X$58, 0, SUM(X289:X$295)*Y289*X$63/X$64+SUM(X290:X$295)*(X$64-X$63)/X$64*Y289)</f>
        <v>0</v>
      </c>
      <c r="AA289" s="87"/>
      <c r="AB289" s="87">
        <f t="shared" si="709"/>
        <v>0</v>
      </c>
      <c r="AC289" s="77">
        <f t="shared" si="710"/>
        <v>4.3000000000000003E-2</v>
      </c>
      <c r="AD289" s="87">
        <f>(SUM(AB289:AB$295)*AC289*AB$63/AB$64+SUM(AB290:AB$295)*(AB$64-AB$63)/AB$64*AC289)</f>
        <v>0</v>
      </c>
      <c r="AE289" s="35"/>
      <c r="AF289" s="87">
        <f t="shared" si="711"/>
        <v>0</v>
      </c>
      <c r="AG289" s="77">
        <f t="shared" si="712"/>
        <v>4.3000000000000003E-2</v>
      </c>
      <c r="AH289" s="87">
        <f>(SUM(AF289:AF$295)*AG289*AF$63/AF$64+SUM(AF290:AF$295)*(AF$64-AF$63)/AF$64*AG289)</f>
        <v>0</v>
      </c>
      <c r="AI289" s="35"/>
      <c r="AJ289" s="87">
        <f t="shared" si="713"/>
        <v>0</v>
      </c>
      <c r="AK289" s="77" t="str">
        <f t="shared" si="714"/>
        <v xml:space="preserve">   </v>
      </c>
      <c r="AL289" s="87">
        <f>IF($A289&gt;'Debt Service'!AJ$58, 0, SUM(AJ289:AJ$295)*AK289*AJ$63/AJ$64+SUM(AJ290:AJ$295)*(AJ$64-AJ$63)/AJ$64*AK289)</f>
        <v>0</v>
      </c>
      <c r="AM289" s="35"/>
      <c r="AN289" s="87">
        <f t="shared" si="715"/>
        <v>0</v>
      </c>
      <c r="AO289" s="77" t="str">
        <f t="shared" si="716"/>
        <v xml:space="preserve">   </v>
      </c>
      <c r="AP289" s="87">
        <f>IF($A289&gt;'Debt Service'!AN$58, 0, SUM(AN289:AN$295)*AO289*AN$63/AN$64+SUM(AN290:AN$295)*(AN$64-AN$63)/AN$64*AO289)</f>
        <v>0</v>
      </c>
      <c r="AQ289" s="35"/>
      <c r="AR289" s="87">
        <f t="shared" si="717"/>
        <v>0</v>
      </c>
      <c r="AS289" s="77" t="str">
        <f t="shared" si="718"/>
        <v xml:space="preserve">   </v>
      </c>
      <c r="AT289" s="87">
        <f>IF($A289&gt;'Debt Service'!AR$58, 0, SUM(AR289:AR$295)*AS289*AR$63/AR$64+SUM(AR290:AR$295)*(AR$64-AR$63)/AR$64*AS289)</f>
        <v>0</v>
      </c>
      <c r="AV289" s="35">
        <f t="shared" si="719"/>
        <v>0</v>
      </c>
      <c r="AW289" s="35">
        <f t="shared" si="720"/>
        <v>0</v>
      </c>
      <c r="AX289" s="35"/>
      <c r="AY289" s="87">
        <f t="shared" si="721"/>
        <v>0</v>
      </c>
      <c r="AZ289" s="77">
        <f t="shared" si="722"/>
        <v>4.3000000000000003E-2</v>
      </c>
      <c r="BA289" s="87">
        <f>(SUM(AY289:AY$295)*AZ289*AY$63/AY$64+SUM(AY290:AY$295)*(AY$64-AY$63)/AY$64*AZ289)</f>
        <v>0</v>
      </c>
      <c r="BB289" s="61"/>
      <c r="BC289" s="87">
        <f t="shared" si="723"/>
        <v>0</v>
      </c>
      <c r="BD289" s="77">
        <f t="shared" si="724"/>
        <v>4.3000000000000003E-2</v>
      </c>
      <c r="BE289" s="87">
        <f>IF($A289&gt;'Debt Service'!BC$58, 0, SUM(BC289:BC$295)*BD289*BC$63/BC$64+SUM(BC290:BC$295)*(BC$64-BC$63)/BC$64*BD289)</f>
        <v>0</v>
      </c>
      <c r="BF289" s="61"/>
      <c r="BG289" s="87">
        <f t="shared" si="725"/>
        <v>0</v>
      </c>
      <c r="BH289" s="77">
        <f t="shared" si="726"/>
        <v>4.3000000000000003E-2</v>
      </c>
      <c r="BI289" s="87">
        <f>IF($A289&gt;'Debt Service'!BG$58, 0, SUM(BG289:BG$295)*BH289*BG$63/BG$64+SUM(BG290:BG$295)*(BG$64-BG$63)/BG$64*BH289)</f>
        <v>0</v>
      </c>
      <c r="BJ289" s="61"/>
      <c r="BK289" s="35">
        <f t="shared" si="761"/>
        <v>0</v>
      </c>
      <c r="BL289" s="35">
        <f t="shared" si="762"/>
        <v>0</v>
      </c>
      <c r="BM289" s="8"/>
      <c r="BN289" s="87">
        <f t="shared" si="727"/>
        <v>0</v>
      </c>
      <c r="BO289" s="77">
        <f t="shared" si="728"/>
        <v>4.3000000000000003E-2</v>
      </c>
      <c r="BP289" s="87">
        <f>(SUM(BN289:BN$295)*BO289*BN$63/BN$64+SUM(BN290:BN$295)*(BN$64-BN$63)/BN$64*BO289)</f>
        <v>0</v>
      </c>
      <c r="BQ289" s="77"/>
      <c r="BR289" s="87">
        <f t="shared" si="729"/>
        <v>0</v>
      </c>
      <c r="BS289" s="77">
        <f t="shared" si="730"/>
        <v>4.3000000000000003E-2</v>
      </c>
      <c r="BT289" s="87">
        <f>IF($A289&gt;'Debt Service'!BR$58, 0, SUM(BR289:BR$295)*BS289*BR$63/BR$64+SUM(BR290:BR$295)*(BR$64-BR$63)/BR$64*BS289)</f>
        <v>3077596.0000000009</v>
      </c>
      <c r="BU289" s="87"/>
      <c r="BV289" s="35">
        <f t="shared" si="763"/>
        <v>0</v>
      </c>
      <c r="BW289" s="35">
        <f t="shared" si="764"/>
        <v>3077596.0000000009</v>
      </c>
      <c r="BX289" s="87"/>
      <c r="BY289" s="87"/>
      <c r="BZ289" s="77">
        <f t="shared" si="732"/>
        <v>4.3000000000000003E-2</v>
      </c>
      <c r="CA289" s="87">
        <f>(SUM(BY289:BY$295)*BZ289*BY$63/BY$64+SUM(BY290:BY$295)*(BY$64-BY$63)/BY$64*BZ289)</f>
        <v>0</v>
      </c>
      <c r="CB289" s="87"/>
      <c r="CC289" s="87">
        <f t="shared" si="733"/>
        <v>0</v>
      </c>
      <c r="CD289" s="77">
        <f t="shared" si="734"/>
        <v>4.3000000000000003E-2</v>
      </c>
      <c r="CE289" s="87">
        <f>IF(OR($A289&gt;'Debt Service'!CC$58,$A289&lt;CC$51), 0, SUM(CC289:CC$295)*CD289*CC$63/CC$64+SUM(CC290:CC$295)*(CC$64-CC$63)/CC$64*CD289)</f>
        <v>0</v>
      </c>
      <c r="CF289" s="87"/>
      <c r="CG289" s="87">
        <f t="shared" si="735"/>
        <v>0</v>
      </c>
      <c r="CH289" s="77">
        <f t="shared" si="736"/>
        <v>4.3000000000000003E-2</v>
      </c>
      <c r="CI289" s="87">
        <f>IF(OR($A289&gt;'Debt Service'!CG$58,$A289&lt;CG$51), 0, SUM(CG289:CG$295)*CH289*CG$63/CG$64+SUM(CG290:CG$295)*(CG$64-CG$63)/CG$64*CH289)</f>
        <v>3088389</v>
      </c>
      <c r="CJ289" s="87"/>
      <c r="CK289" s="87">
        <f t="shared" si="737"/>
        <v>0</v>
      </c>
      <c r="CL289" s="77">
        <f t="shared" si="738"/>
        <v>4.3000000000000003E-2</v>
      </c>
      <c r="CM289" s="87">
        <f>IF(OR($A289&gt;'Debt Service'!CK$58,$A289&lt;CK$51), 0, SUM(CK289:CK$295)*CL289*CK$63/CK$64+SUM(CK290:CK$295)*(CK$64-CK$63)/CK$64*CL289)</f>
        <v>3085379</v>
      </c>
      <c r="CN289" s="87"/>
      <c r="CO289" s="162">
        <f t="shared" si="739"/>
        <v>0</v>
      </c>
      <c r="CP289" s="87">
        <f t="shared" si="740"/>
        <v>6173768</v>
      </c>
      <c r="CQ289" s="87"/>
      <c r="CR289" s="87">
        <f t="shared" si="741"/>
        <v>0</v>
      </c>
      <c r="CS289" s="77">
        <f t="shared" si="742"/>
        <v>4.3000000000000003E-2</v>
      </c>
      <c r="CT289" s="87">
        <f>IF(OR($A289&gt;'Debt Service'!CR$58,$A289&lt;CR$51), 0, SUM(CR289:CR$295)*CS289*CR$63/CR$64+SUM(CR290:CR$295)*(CR$64-CR$63)/CR$64*CS289)</f>
        <v>0</v>
      </c>
      <c r="CU289" s="87"/>
      <c r="CV289" s="87">
        <f t="shared" si="743"/>
        <v>0</v>
      </c>
      <c r="CW289" s="77">
        <f t="shared" si="744"/>
        <v>4.3000000000000003E-2</v>
      </c>
      <c r="CX289" s="87">
        <f>IF(OR($A289&gt;'Debt Service'!CV$58,$A289&lt;CV$51), 0, SUM(CV289:CV$295)*CW289*CV$63/CV$64+SUM(CV290:CV$295)*(CV$64-CV$63)/CV$64*CW289)</f>
        <v>0</v>
      </c>
      <c r="CY289" s="87"/>
      <c r="CZ289" s="165">
        <f t="shared" si="745"/>
        <v>0</v>
      </c>
      <c r="DA289" s="165">
        <f t="shared" si="746"/>
        <v>0</v>
      </c>
      <c r="DB289" s="87"/>
      <c r="DC289" s="87">
        <f t="shared" si="747"/>
        <v>0</v>
      </c>
      <c r="DD289" s="77">
        <f t="shared" si="748"/>
        <v>4.3000000000000003E-2</v>
      </c>
      <c r="DE289" s="87">
        <f>IF($A289&gt;'Debt Service'!DC$58, 0, SUM(DC289:DC$295)*DD289*DC$63/DC$64+SUM(DC290:DC$295)*(DC$64-DC$63)/DC$64*DD289)</f>
        <v>0</v>
      </c>
      <c r="DF289" s="87"/>
      <c r="DG289" s="87">
        <f t="shared" si="749"/>
        <v>0</v>
      </c>
      <c r="DH289" s="77">
        <f t="shared" si="750"/>
        <v>4.3000000000000003E-2</v>
      </c>
      <c r="DI289" s="87">
        <f>IF($A289&gt;'Debt Service'!DG$58, 0, SUM(DG289:DG$295)*DH289*DG$63/DG$64+SUM(DG290:DG$295)*(DG$64-DG$63)/DG$64*DH289)</f>
        <v>0</v>
      </c>
      <c r="DJ289" s="87"/>
      <c r="DK289" s="87">
        <f t="shared" si="751"/>
        <v>0</v>
      </c>
      <c r="DL289" s="77">
        <f t="shared" si="752"/>
        <v>4.3000000000000003E-2</v>
      </c>
      <c r="DM289" s="87">
        <f>IF($A289&gt;'Debt Service'!DK$58, 0, SUM(DK289:DK$295)*DL289*DK$63/DK$64+SUM(DK290:DK$295)*(DK$64-DK$63)/DK$64*DL289)</f>
        <v>0</v>
      </c>
      <c r="DN289" s="87"/>
      <c r="DO289" s="87">
        <f t="shared" si="753"/>
        <v>0</v>
      </c>
      <c r="DP289" s="77">
        <f t="shared" si="754"/>
        <v>4.3000000000000003E-2</v>
      </c>
      <c r="DQ289" s="87">
        <f>IF($A289&gt;'Debt Service'!DO$58, 0, SUM(DO289:DO$295)*DP289*DO$63/DO$64+SUM(DO290:DO$295)*(DO$64-DO$63)/DO$64*DP289)</f>
        <v>0</v>
      </c>
      <c r="DR289" s="87"/>
      <c r="DS289" s="87">
        <f t="shared" si="755"/>
        <v>0</v>
      </c>
      <c r="DT289" s="77">
        <f t="shared" si="756"/>
        <v>4.3000000000000003E-2</v>
      </c>
      <c r="DU289" s="87">
        <f>IF($A289&gt;'Debt Service'!DS$58, 0, SUM(DS289:DS$295)*DT289*DS$63/DS$64+SUM(DS290:DS$295)*(DS$64-DS$63)/DS$64*DT289)</f>
        <v>0</v>
      </c>
      <c r="DV289" s="87"/>
      <c r="DW289" s="165">
        <f t="shared" si="765"/>
        <v>0</v>
      </c>
      <c r="DX289" s="165">
        <f t="shared" si="766"/>
        <v>9251364</v>
      </c>
      <c r="DY289" s="87"/>
      <c r="DZ289" s="53">
        <f t="shared" si="757"/>
        <v>2054</v>
      </c>
      <c r="EA289" s="35">
        <f t="shared" si="768"/>
        <v>0</v>
      </c>
      <c r="EB289" s="35">
        <f t="shared" si="759"/>
        <v>9251364</v>
      </c>
      <c r="EC289" s="77">
        <f>IF($A289&gt;2042, VLOOKUP($A289, Assumptions!$A$8:$D$44, Assumptions!$D$1, FALSE) +'Debt Service'!DS$307, MAX(EB289/SUM(EA289:EA$295), EC290))</f>
        <v>4.3000000000000003E-2</v>
      </c>
      <c r="ED289" s="172">
        <f t="shared" si="767"/>
        <v>31</v>
      </c>
      <c r="EE289" s="61"/>
    </row>
    <row r="290" spans="1:135" s="33" customFormat="1" outlineLevel="1">
      <c r="A290" s="7">
        <f t="shared" si="760"/>
        <v>2055</v>
      </c>
      <c r="B290" s="151">
        <f>Assumptions!B39</f>
        <v>5.3800000000000001E-2</v>
      </c>
      <c r="C290" s="151">
        <f>Assumptions!C39</f>
        <v>5.3800000000000001E-2</v>
      </c>
      <c r="D290" s="151">
        <f>Assumptions!D39</f>
        <v>3.5000000000000003E-2</v>
      </c>
      <c r="E290" s="151">
        <f>Assumptions!E39</f>
        <v>5.2999999999999999E-2</v>
      </c>
      <c r="F290" s="8"/>
      <c r="G290" s="8"/>
      <c r="H290" s="8"/>
      <c r="I290" s="8"/>
      <c r="J290" s="8"/>
      <c r="K290" s="8"/>
      <c r="L290" s="8"/>
      <c r="M290" s="87">
        <f t="shared" si="701"/>
        <v>0</v>
      </c>
      <c r="N290" s="77" t="str">
        <f t="shared" si="702"/>
        <v xml:space="preserve">   </v>
      </c>
      <c r="O290" s="87">
        <f>IF($A290&gt;'Debt Service'!M$58, 0, SUM(M290:M$295)*N290*M$63/M$64+SUM(M291:M$295)*(M$64-M$63)/M$64*N290)</f>
        <v>0</v>
      </c>
      <c r="P290" s="35"/>
      <c r="Q290" s="87">
        <f t="shared" si="703"/>
        <v>0</v>
      </c>
      <c r="R290" s="77" t="str">
        <f t="shared" si="704"/>
        <v xml:space="preserve">   </v>
      </c>
      <c r="S290" s="87">
        <f>IF($A290&gt;'Debt Service'!Q$58, 0, SUM(Q290:Q$295)*R290*Q$63/Q$64+SUM(Q291:Q$295)*(Q$64-Q$63)/Q$64*R290)</f>
        <v>0</v>
      </c>
      <c r="T290" s="35"/>
      <c r="U290" s="87">
        <f t="shared" si="705"/>
        <v>0</v>
      </c>
      <c r="V290" s="35">
        <f t="shared" si="706"/>
        <v>0</v>
      </c>
      <c r="W290" s="35"/>
      <c r="X290" s="87">
        <f t="shared" si="707"/>
        <v>0</v>
      </c>
      <c r="Y290" s="77" t="str">
        <f t="shared" si="708"/>
        <v xml:space="preserve">   </v>
      </c>
      <c r="Z290" s="87">
        <f>IF($A290&gt;'Debt Service'!X$58, 0, SUM(X290:X$295)*Y290*X$63/X$64+SUM(X291:X$295)*(X$64-X$63)/X$64*Y290)</f>
        <v>0</v>
      </c>
      <c r="AA290" s="87"/>
      <c r="AB290" s="87">
        <f t="shared" si="709"/>
        <v>0</v>
      </c>
      <c r="AC290" s="77">
        <f t="shared" si="710"/>
        <v>4.3000000000000003E-2</v>
      </c>
      <c r="AD290" s="87">
        <f>(SUM(AB290:AB$295)*AC290*AB$63/AB$64+SUM(AB291:AB$295)*(AB$64-AB$63)/AB$64*AC290)</f>
        <v>0</v>
      </c>
      <c r="AE290" s="35"/>
      <c r="AF290" s="87">
        <f t="shared" si="711"/>
        <v>0</v>
      </c>
      <c r="AG290" s="77">
        <f t="shared" si="712"/>
        <v>4.3000000000000003E-2</v>
      </c>
      <c r="AH290" s="87">
        <f>(SUM(AF290:AF$295)*AG290*AF$63/AF$64+SUM(AF291:AF$295)*(AF$64-AF$63)/AF$64*AG290)</f>
        <v>0</v>
      </c>
      <c r="AI290" s="35"/>
      <c r="AJ290" s="87">
        <f t="shared" si="713"/>
        <v>0</v>
      </c>
      <c r="AK290" s="77" t="str">
        <f t="shared" si="714"/>
        <v xml:space="preserve">   </v>
      </c>
      <c r="AL290" s="87">
        <f>IF($A290&gt;'Debt Service'!AJ$58, 0, SUM(AJ290:AJ$295)*AK290*AJ$63/AJ$64+SUM(AJ291:AJ$295)*(AJ$64-AJ$63)/AJ$64*AK290)</f>
        <v>0</v>
      </c>
      <c r="AM290" s="35"/>
      <c r="AN290" s="87">
        <f t="shared" si="715"/>
        <v>0</v>
      </c>
      <c r="AO290" s="77" t="str">
        <f t="shared" si="716"/>
        <v xml:space="preserve">   </v>
      </c>
      <c r="AP290" s="87">
        <f>IF($A290&gt;'Debt Service'!AN$58, 0, SUM(AN290:AN$295)*AO290*AN$63/AN$64+SUM(AN291:AN$295)*(AN$64-AN$63)/AN$64*AO290)</f>
        <v>0</v>
      </c>
      <c r="AQ290" s="35"/>
      <c r="AR290" s="87">
        <f t="shared" si="717"/>
        <v>0</v>
      </c>
      <c r="AS290" s="77" t="str">
        <f t="shared" si="718"/>
        <v xml:space="preserve">   </v>
      </c>
      <c r="AT290" s="87">
        <f>IF($A290&gt;'Debt Service'!AR$58, 0, SUM(AR290:AR$295)*AS290*AR$63/AR$64+SUM(AR291:AR$295)*(AR$64-AR$63)/AR$64*AS290)</f>
        <v>0</v>
      </c>
      <c r="AV290" s="35">
        <f t="shared" si="719"/>
        <v>0</v>
      </c>
      <c r="AW290" s="35">
        <f t="shared" si="720"/>
        <v>0</v>
      </c>
      <c r="AX290" s="35"/>
      <c r="AY290" s="87">
        <f t="shared" si="721"/>
        <v>0</v>
      </c>
      <c r="AZ290" s="77">
        <f t="shared" si="722"/>
        <v>4.3000000000000003E-2</v>
      </c>
      <c r="BA290" s="87">
        <f>(SUM(AY290:AY$295)*AZ290*AY$63/AY$64+SUM(AY291:AY$295)*(AY$64-AY$63)/AY$64*AZ290)</f>
        <v>0</v>
      </c>
      <c r="BB290" s="61"/>
      <c r="BC290" s="87">
        <f t="shared" si="723"/>
        <v>0</v>
      </c>
      <c r="BD290" s="77">
        <f t="shared" si="724"/>
        <v>4.3000000000000003E-2</v>
      </c>
      <c r="BE290" s="87">
        <f>IF($A290&gt;'Debt Service'!BC$58, 0, SUM(BC290:BC$295)*BD290*BC$63/BC$64+SUM(BC291:BC$295)*(BC$64-BC$63)/BC$64*BD290)</f>
        <v>0</v>
      </c>
      <c r="BF290" s="61"/>
      <c r="BG290" s="87">
        <f t="shared" si="725"/>
        <v>0</v>
      </c>
      <c r="BH290" s="77">
        <f t="shared" si="726"/>
        <v>4.3000000000000003E-2</v>
      </c>
      <c r="BI290" s="87">
        <f>IF($A290&gt;'Debt Service'!BG$58, 0, SUM(BG290:BG$295)*BH290*BG$63/BG$64+SUM(BG291:BG$295)*(BG$64-BG$63)/BG$64*BH290)</f>
        <v>0</v>
      </c>
      <c r="BJ290" s="61"/>
      <c r="BK290" s="35">
        <f t="shared" si="761"/>
        <v>0</v>
      </c>
      <c r="BL290" s="35">
        <f t="shared" si="762"/>
        <v>0</v>
      </c>
      <c r="BM290" s="8"/>
      <c r="BN290" s="87">
        <f t="shared" si="727"/>
        <v>0</v>
      </c>
      <c r="BO290" s="77">
        <f t="shared" si="728"/>
        <v>4.3000000000000003E-2</v>
      </c>
      <c r="BP290" s="87">
        <f>(SUM(BN290:BN$295)*BO290*BN$63/BN$64+SUM(BN291:BN$295)*(BN$64-BN$63)/BN$64*BO290)</f>
        <v>0</v>
      </c>
      <c r="BQ290" s="77"/>
      <c r="BR290" s="87">
        <f t="shared" si="729"/>
        <v>71572000</v>
      </c>
      <c r="BS290" s="77">
        <f t="shared" si="730"/>
        <v>4.3000000000000003E-2</v>
      </c>
      <c r="BT290" s="87">
        <f>IF($A290&gt;'Debt Service'!BR$58, 0, SUM(BR290:BR$295)*BS290*BR$63/BR$64+SUM(BR291:BR$295)*(BR$64-BR$63)/BR$64*BS290)</f>
        <v>2821129.6666666674</v>
      </c>
      <c r="BU290" s="87"/>
      <c r="BV290" s="35">
        <f t="shared" si="763"/>
        <v>71572000</v>
      </c>
      <c r="BW290" s="35">
        <f t="shared" si="764"/>
        <v>2821129.6666666674</v>
      </c>
      <c r="BX290" s="87"/>
      <c r="BY290" s="87"/>
      <c r="BZ290" s="77">
        <f t="shared" si="732"/>
        <v>4.3000000000000003E-2</v>
      </c>
      <c r="CA290" s="87">
        <f>(SUM(BY290:BY$295)*BZ290*BY$63/BY$64+SUM(BY291:BY$295)*(BY$64-BY$63)/BY$64*BZ290)</f>
        <v>0</v>
      </c>
      <c r="CB290" s="87"/>
      <c r="CC290" s="87">
        <f t="shared" si="733"/>
        <v>0</v>
      </c>
      <c r="CD290" s="77">
        <f t="shared" si="734"/>
        <v>4.3000000000000003E-2</v>
      </c>
      <c r="CE290" s="87">
        <f>IF(OR($A290&gt;'Debt Service'!CC$58,$A290&lt;CC$51), 0, SUM(CC290:CC$295)*CD290*CC$63/CC$64+SUM(CC291:CC$295)*(CC$64-CC$63)/CC$64*CD290)</f>
        <v>0</v>
      </c>
      <c r="CF290" s="87"/>
      <c r="CG290" s="87">
        <f t="shared" si="735"/>
        <v>0</v>
      </c>
      <c r="CH290" s="77">
        <f t="shared" si="736"/>
        <v>4.3000000000000003E-2</v>
      </c>
      <c r="CI290" s="87">
        <f>IF(OR($A290&gt;'Debt Service'!CG$58,$A290&lt;CG$51), 0, SUM(CG290:CG$295)*CH290*CG$63/CG$64+SUM(CG291:CG$295)*(CG$64-CG$63)/CG$64*CH290)</f>
        <v>3088389</v>
      </c>
      <c r="CJ290" s="87"/>
      <c r="CK290" s="87">
        <f t="shared" si="737"/>
        <v>0</v>
      </c>
      <c r="CL290" s="77">
        <f t="shared" si="738"/>
        <v>4.3000000000000003E-2</v>
      </c>
      <c r="CM290" s="87">
        <f>IF(OR($A290&gt;'Debt Service'!CK$58,$A290&lt;CK$51), 0, SUM(CK290:CK$295)*CL290*CK$63/CK$64+SUM(CK291:CK$295)*(CK$64-CK$63)/CK$64*CL290)</f>
        <v>3085379</v>
      </c>
      <c r="CN290" s="87"/>
      <c r="CO290" s="162">
        <f t="shared" si="739"/>
        <v>0</v>
      </c>
      <c r="CP290" s="87">
        <f t="shared" si="740"/>
        <v>6173768</v>
      </c>
      <c r="CQ290" s="87"/>
      <c r="CR290" s="87">
        <f t="shared" si="741"/>
        <v>0</v>
      </c>
      <c r="CS290" s="77">
        <f t="shared" si="742"/>
        <v>4.3000000000000003E-2</v>
      </c>
      <c r="CT290" s="87">
        <f>IF(OR($A290&gt;'Debt Service'!CR$58,$A290&lt;CR$51), 0, SUM(CR290:CR$295)*CS290*CR$63/CR$64+SUM(CR291:CR$295)*(CR$64-CR$63)/CR$64*CS290)</f>
        <v>0</v>
      </c>
      <c r="CU290" s="87"/>
      <c r="CV290" s="87">
        <f t="shared" si="743"/>
        <v>0</v>
      </c>
      <c r="CW290" s="77">
        <f t="shared" si="744"/>
        <v>4.3000000000000003E-2</v>
      </c>
      <c r="CX290" s="87">
        <f>IF(OR($A290&gt;'Debt Service'!CV$58,$A290&lt;CV$51), 0, SUM(CV290:CV$295)*CW290*CV$63/CV$64+SUM(CV291:CV$295)*(CV$64-CV$63)/CV$64*CW290)</f>
        <v>0</v>
      </c>
      <c r="CY290" s="87"/>
      <c r="CZ290" s="165">
        <f t="shared" si="745"/>
        <v>0</v>
      </c>
      <c r="DA290" s="165">
        <f t="shared" si="746"/>
        <v>0</v>
      </c>
      <c r="DB290" s="87"/>
      <c r="DC290" s="87">
        <f t="shared" si="747"/>
        <v>0</v>
      </c>
      <c r="DD290" s="77">
        <f t="shared" si="748"/>
        <v>4.3000000000000003E-2</v>
      </c>
      <c r="DE290" s="87">
        <f>IF($A290&gt;'Debt Service'!DC$58, 0, SUM(DC290:DC$295)*DD290*DC$63/DC$64+SUM(DC291:DC$295)*(DC$64-DC$63)/DC$64*DD290)</f>
        <v>0</v>
      </c>
      <c r="DF290" s="87"/>
      <c r="DG290" s="87">
        <f t="shared" si="749"/>
        <v>0</v>
      </c>
      <c r="DH290" s="77">
        <f t="shared" si="750"/>
        <v>4.3000000000000003E-2</v>
      </c>
      <c r="DI290" s="87">
        <f>IF($A290&gt;'Debt Service'!DG$58, 0, SUM(DG290:DG$295)*DH290*DG$63/DG$64+SUM(DG291:DG$295)*(DG$64-DG$63)/DG$64*DH290)</f>
        <v>0</v>
      </c>
      <c r="DJ290" s="87"/>
      <c r="DK290" s="87">
        <f t="shared" si="751"/>
        <v>0</v>
      </c>
      <c r="DL290" s="77">
        <f t="shared" si="752"/>
        <v>4.3000000000000003E-2</v>
      </c>
      <c r="DM290" s="87">
        <f>IF($A290&gt;'Debt Service'!DK$58, 0, SUM(DK290:DK$295)*DL290*DK$63/DK$64+SUM(DK291:DK$295)*(DK$64-DK$63)/DK$64*DL290)</f>
        <v>0</v>
      </c>
      <c r="DN290" s="87"/>
      <c r="DO290" s="87">
        <f t="shared" si="753"/>
        <v>0</v>
      </c>
      <c r="DP290" s="77">
        <f t="shared" si="754"/>
        <v>4.3000000000000003E-2</v>
      </c>
      <c r="DQ290" s="87">
        <f>IF($A290&gt;'Debt Service'!DO$58, 0, SUM(DO290:DO$295)*DP290*DO$63/DO$64+SUM(DO291:DO$295)*(DO$64-DO$63)/DO$64*DP290)</f>
        <v>0</v>
      </c>
      <c r="DR290" s="87"/>
      <c r="DS290" s="87">
        <f t="shared" si="755"/>
        <v>0</v>
      </c>
      <c r="DT290" s="77">
        <f t="shared" si="756"/>
        <v>4.3000000000000003E-2</v>
      </c>
      <c r="DU290" s="87">
        <f>IF($A290&gt;'Debt Service'!DS$58, 0, SUM(DS290:DS$295)*DT290*DS$63/DS$64+SUM(DS291:DS$295)*(DS$64-DS$63)/DS$64*DT290)</f>
        <v>0</v>
      </c>
      <c r="DV290" s="87"/>
      <c r="DW290" s="165">
        <f t="shared" si="765"/>
        <v>71572000</v>
      </c>
      <c r="DX290" s="165">
        <f t="shared" si="766"/>
        <v>8994897.6666666679</v>
      </c>
      <c r="DY290" s="87"/>
      <c r="DZ290" s="53">
        <f t="shared" si="757"/>
        <v>2055</v>
      </c>
      <c r="EA290" s="35">
        <f t="shared" si="768"/>
        <v>71572000</v>
      </c>
      <c r="EB290" s="35">
        <f t="shared" si="759"/>
        <v>8994897.6666666679</v>
      </c>
      <c r="EC290" s="77">
        <f>IF($A290&gt;2042, VLOOKUP($A290, Assumptions!$A$8:$D$44, Assumptions!$D$1, FALSE) +'Debt Service'!DS$307, MAX(EB290/SUM(EA290:EA$295), EC291))</f>
        <v>4.3000000000000003E-2</v>
      </c>
      <c r="ED290" s="172">
        <f t="shared" si="767"/>
        <v>32</v>
      </c>
      <c r="EE290" s="61"/>
    </row>
    <row r="291" spans="1:135" s="33" customFormat="1" outlineLevel="1">
      <c r="A291" s="7">
        <f t="shared" si="760"/>
        <v>2056</v>
      </c>
      <c r="B291" s="151">
        <f>Assumptions!B40</f>
        <v>5.3800000000000001E-2</v>
      </c>
      <c r="C291" s="151">
        <f>Assumptions!C40</f>
        <v>5.3800000000000001E-2</v>
      </c>
      <c r="D291" s="151">
        <f>Assumptions!D40</f>
        <v>3.5000000000000003E-2</v>
      </c>
      <c r="E291" s="151">
        <f>Assumptions!E40</f>
        <v>5.2999999999999999E-2</v>
      </c>
      <c r="F291" s="8"/>
      <c r="G291" s="8"/>
      <c r="H291" s="8"/>
      <c r="I291" s="8"/>
      <c r="J291" s="8"/>
      <c r="K291" s="8"/>
      <c r="L291" s="8"/>
      <c r="M291" s="87">
        <f t="shared" si="701"/>
        <v>0</v>
      </c>
      <c r="N291" s="77" t="str">
        <f t="shared" si="702"/>
        <v xml:space="preserve">   </v>
      </c>
      <c r="O291" s="87">
        <f>IF($A291&gt;'Debt Service'!M$58, 0, SUM(M291:M$295)*N291*M$63/M$64+SUM(M292:M$295)*(M$64-M$63)/M$64*N291)</f>
        <v>0</v>
      </c>
      <c r="P291" s="35"/>
      <c r="Q291" s="87">
        <f t="shared" si="703"/>
        <v>0</v>
      </c>
      <c r="R291" s="77" t="str">
        <f t="shared" si="704"/>
        <v xml:space="preserve">   </v>
      </c>
      <c r="S291" s="87">
        <f>IF($A291&gt;'Debt Service'!Q$58, 0, SUM(Q291:Q$295)*R291*Q$63/Q$64+SUM(Q292:Q$295)*(Q$64-Q$63)/Q$64*R291)</f>
        <v>0</v>
      </c>
      <c r="T291" s="35"/>
      <c r="U291" s="87">
        <f t="shared" si="705"/>
        <v>0</v>
      </c>
      <c r="V291" s="35">
        <f t="shared" si="706"/>
        <v>0</v>
      </c>
      <c r="W291" s="35"/>
      <c r="X291" s="87">
        <f t="shared" si="707"/>
        <v>0</v>
      </c>
      <c r="Y291" s="77" t="str">
        <f t="shared" si="708"/>
        <v xml:space="preserve">   </v>
      </c>
      <c r="Z291" s="87">
        <f>IF($A291&gt;'Debt Service'!X$58, 0, SUM(X291:X$295)*Y291*X$63/X$64+SUM(X292:X$295)*(X$64-X$63)/X$64*Y291)</f>
        <v>0</v>
      </c>
      <c r="AA291" s="87"/>
      <c r="AB291" s="87">
        <f t="shared" si="709"/>
        <v>0</v>
      </c>
      <c r="AC291" s="77">
        <f t="shared" si="710"/>
        <v>4.3000000000000003E-2</v>
      </c>
      <c r="AD291" s="87">
        <f>(SUM(AB291:AB$295)*AC291*AB$63/AB$64+SUM(AB292:AB$295)*(AB$64-AB$63)/AB$64*AC291)</f>
        <v>0</v>
      </c>
      <c r="AE291" s="35"/>
      <c r="AF291" s="87">
        <f t="shared" si="711"/>
        <v>0</v>
      </c>
      <c r="AG291" s="77">
        <f t="shared" si="712"/>
        <v>4.3000000000000003E-2</v>
      </c>
      <c r="AH291" s="87">
        <f>(SUM(AF291:AF$295)*AG291*AF$63/AF$64+SUM(AF292:AF$295)*(AF$64-AF$63)/AF$64*AG291)</f>
        <v>0</v>
      </c>
      <c r="AI291" s="35"/>
      <c r="AJ291" s="87">
        <f t="shared" si="713"/>
        <v>0</v>
      </c>
      <c r="AK291" s="77" t="str">
        <f t="shared" si="714"/>
        <v xml:space="preserve">   </v>
      </c>
      <c r="AL291" s="87">
        <f>IF($A291&gt;'Debt Service'!AJ$58, 0, SUM(AJ291:AJ$295)*AK291*AJ$63/AJ$64+SUM(AJ292:AJ$295)*(AJ$64-AJ$63)/AJ$64*AK291)</f>
        <v>0</v>
      </c>
      <c r="AM291" s="35"/>
      <c r="AN291" s="87">
        <f t="shared" si="715"/>
        <v>0</v>
      </c>
      <c r="AO291" s="77" t="str">
        <f t="shared" si="716"/>
        <v xml:space="preserve">   </v>
      </c>
      <c r="AP291" s="87">
        <f>IF($A291&gt;'Debt Service'!AN$58, 0, SUM(AN291:AN$295)*AO291*AN$63/AN$64+SUM(AN292:AN$295)*(AN$64-AN$63)/AN$64*AO291)</f>
        <v>0</v>
      </c>
      <c r="AQ291" s="35"/>
      <c r="AR291" s="87">
        <f t="shared" si="717"/>
        <v>0</v>
      </c>
      <c r="AS291" s="77" t="str">
        <f t="shared" si="718"/>
        <v xml:space="preserve">   </v>
      </c>
      <c r="AT291" s="87">
        <f>IF($A291&gt;'Debt Service'!AR$58, 0, SUM(AR291:AR$295)*AS291*AR$63/AR$64+SUM(AR292:AR$295)*(AR$64-AR$63)/AR$64*AS291)</f>
        <v>0</v>
      </c>
      <c r="AV291" s="35">
        <f t="shared" si="719"/>
        <v>0</v>
      </c>
      <c r="AW291" s="35">
        <f t="shared" si="720"/>
        <v>0</v>
      </c>
      <c r="AX291" s="35"/>
      <c r="AY291" s="87">
        <f t="shared" si="721"/>
        <v>0</v>
      </c>
      <c r="AZ291" s="77">
        <f t="shared" si="722"/>
        <v>4.3000000000000003E-2</v>
      </c>
      <c r="BA291" s="87">
        <f>(SUM(AY291:AY$295)*AZ291*AY$63/AY$64+SUM(AY292:AY$295)*(AY$64-AY$63)/AY$64*AZ291)</f>
        <v>0</v>
      </c>
      <c r="BB291" s="61"/>
      <c r="BC291" s="87">
        <f t="shared" si="723"/>
        <v>0</v>
      </c>
      <c r="BD291" s="77">
        <f t="shared" si="724"/>
        <v>4.3000000000000003E-2</v>
      </c>
      <c r="BE291" s="87">
        <f>IF($A291&gt;'Debt Service'!BC$58, 0, SUM(BC291:BC$295)*BD291*BC$63/BC$64+SUM(BC292:BC$295)*(BC$64-BC$63)/BC$64*BD291)</f>
        <v>0</v>
      </c>
      <c r="BF291" s="61"/>
      <c r="BG291" s="87">
        <f t="shared" si="725"/>
        <v>0</v>
      </c>
      <c r="BH291" s="77">
        <f t="shared" si="726"/>
        <v>4.3000000000000003E-2</v>
      </c>
      <c r="BI291" s="87">
        <f>IF($A291&gt;'Debt Service'!BG$58, 0, SUM(BG291:BG$295)*BH291*BG$63/BG$64+SUM(BG292:BG$295)*(BG$64-BG$63)/BG$64*BH291)</f>
        <v>0</v>
      </c>
      <c r="BJ291" s="61"/>
      <c r="BK291" s="35">
        <f t="shared" si="761"/>
        <v>0</v>
      </c>
      <c r="BL291" s="35">
        <f t="shared" si="762"/>
        <v>0</v>
      </c>
      <c r="BM291" s="8"/>
      <c r="BN291" s="87">
        <f t="shared" si="727"/>
        <v>0</v>
      </c>
      <c r="BO291" s="77">
        <f t="shared" si="728"/>
        <v>4.3000000000000003E-2</v>
      </c>
      <c r="BP291" s="87">
        <f>(SUM(BN291:BN$295)*BO291*BN$63/BN$64+SUM(BN292:BN$295)*(BN$64-BN$63)/BN$64*BO291)</f>
        <v>0</v>
      </c>
      <c r="BQ291" s="77"/>
      <c r="BR291" s="87">
        <f t="shared" si="729"/>
        <v>0</v>
      </c>
      <c r="BS291" s="77">
        <f t="shared" si="730"/>
        <v>4.3000000000000003E-2</v>
      </c>
      <c r="BT291" s="87">
        <f>IF($A291&gt;'Debt Service'!BR$58, 0, SUM(BR291:BR$295)*BS291*BR$63/BR$64+SUM(BR292:BR$295)*(BR$64-BR$63)/BR$64*BS291)</f>
        <v>0</v>
      </c>
      <c r="BU291" s="87"/>
      <c r="BV291" s="35">
        <f t="shared" si="763"/>
        <v>0</v>
      </c>
      <c r="BW291" s="35">
        <f t="shared" si="764"/>
        <v>0</v>
      </c>
      <c r="BX291" s="87"/>
      <c r="BY291" s="87"/>
      <c r="BZ291" s="77">
        <f t="shared" si="732"/>
        <v>4.3000000000000003E-2</v>
      </c>
      <c r="CA291" s="87">
        <f>(SUM(BY291:BY$295)*BZ291*BY$63/BY$64+SUM(BY292:BY$295)*(BY$64-BY$63)/BY$64*BZ291)</f>
        <v>0</v>
      </c>
      <c r="CB291" s="87"/>
      <c r="CC291" s="87">
        <f t="shared" si="733"/>
        <v>0</v>
      </c>
      <c r="CD291" s="77">
        <f t="shared" si="734"/>
        <v>4.3000000000000003E-2</v>
      </c>
      <c r="CE291" s="87">
        <f>IF(OR($A291&gt;'Debt Service'!CC$58,$A291&lt;CC$51), 0, SUM(CC291:CC$295)*CD291*CC$63/CC$64+SUM(CC292:CC$295)*(CC$64-CC$63)/CC$64*CD291)</f>
        <v>0</v>
      </c>
      <c r="CF291" s="87"/>
      <c r="CG291" s="87">
        <f t="shared" si="735"/>
        <v>0</v>
      </c>
      <c r="CH291" s="77">
        <f t="shared" si="736"/>
        <v>4.3000000000000003E-2</v>
      </c>
      <c r="CI291" s="87">
        <f>IF(OR($A291&gt;'Debt Service'!CG$58,$A291&lt;CG$51), 0, SUM(CG291:CG$295)*CH291*CG$63/CG$64+SUM(CG292:CG$295)*(CG$64-CG$63)/CG$64*CH291)</f>
        <v>3088389</v>
      </c>
      <c r="CJ291" s="87"/>
      <c r="CK291" s="87">
        <f t="shared" si="737"/>
        <v>0</v>
      </c>
      <c r="CL291" s="77">
        <f t="shared" si="738"/>
        <v>4.3000000000000003E-2</v>
      </c>
      <c r="CM291" s="87">
        <f>IF(OR($A291&gt;'Debt Service'!CK$58,$A291&lt;CK$51), 0, SUM(CK291:CK$295)*CL291*CK$63/CK$64+SUM(CK292:CK$295)*(CK$64-CK$63)/CK$64*CL291)</f>
        <v>3085379</v>
      </c>
      <c r="CN291" s="87"/>
      <c r="CO291" s="162">
        <f t="shared" si="739"/>
        <v>0</v>
      </c>
      <c r="CP291" s="87">
        <f t="shared" si="740"/>
        <v>6173768</v>
      </c>
      <c r="CQ291" s="87"/>
      <c r="CR291" s="87">
        <f t="shared" si="741"/>
        <v>0</v>
      </c>
      <c r="CS291" s="77">
        <f t="shared" si="742"/>
        <v>4.3000000000000003E-2</v>
      </c>
      <c r="CT291" s="87">
        <f>IF(OR($A291&gt;'Debt Service'!CR$58,$A291&lt;CR$51), 0, SUM(CR291:CR$295)*CS291*CR$63/CR$64+SUM(CR292:CR$295)*(CR$64-CR$63)/CR$64*CS291)</f>
        <v>0</v>
      </c>
      <c r="CU291" s="87"/>
      <c r="CV291" s="87">
        <f t="shared" si="743"/>
        <v>0</v>
      </c>
      <c r="CW291" s="77">
        <f t="shared" si="744"/>
        <v>4.3000000000000003E-2</v>
      </c>
      <c r="CX291" s="87">
        <f>IF(OR($A291&gt;'Debt Service'!CV$58,$A291&lt;CV$51), 0, SUM(CV291:CV$295)*CW291*CV$63/CV$64+SUM(CV292:CV$295)*(CV$64-CV$63)/CV$64*CW291)</f>
        <v>0</v>
      </c>
      <c r="CY291" s="87"/>
      <c r="CZ291" s="165">
        <f t="shared" si="745"/>
        <v>0</v>
      </c>
      <c r="DA291" s="165">
        <f t="shared" si="746"/>
        <v>0</v>
      </c>
      <c r="DB291" s="87"/>
      <c r="DC291" s="87">
        <f t="shared" si="747"/>
        <v>0</v>
      </c>
      <c r="DD291" s="77">
        <f t="shared" si="748"/>
        <v>4.3000000000000003E-2</v>
      </c>
      <c r="DE291" s="87">
        <f>IF($A291&gt;'Debt Service'!DC$58, 0, SUM(DC291:DC$295)*DD291*DC$63/DC$64+SUM(DC292:DC$295)*(DC$64-DC$63)/DC$64*DD291)</f>
        <v>0</v>
      </c>
      <c r="DF291" s="87"/>
      <c r="DG291" s="87">
        <f t="shared" si="749"/>
        <v>0</v>
      </c>
      <c r="DH291" s="77">
        <f t="shared" si="750"/>
        <v>4.3000000000000003E-2</v>
      </c>
      <c r="DI291" s="87">
        <f>IF($A291&gt;'Debt Service'!DG$58, 0, SUM(DG291:DG$295)*DH291*DG$63/DG$64+SUM(DG292:DG$295)*(DG$64-DG$63)/DG$64*DH291)</f>
        <v>0</v>
      </c>
      <c r="DJ291" s="87"/>
      <c r="DK291" s="87">
        <f t="shared" si="751"/>
        <v>0</v>
      </c>
      <c r="DL291" s="77">
        <f t="shared" si="752"/>
        <v>4.3000000000000003E-2</v>
      </c>
      <c r="DM291" s="87">
        <f>IF($A291&gt;'Debt Service'!DK$58, 0, SUM(DK291:DK$295)*DL291*DK$63/DK$64+SUM(DK292:DK$295)*(DK$64-DK$63)/DK$64*DL291)</f>
        <v>0</v>
      </c>
      <c r="DN291" s="87"/>
      <c r="DO291" s="87">
        <f t="shared" si="753"/>
        <v>0</v>
      </c>
      <c r="DP291" s="77">
        <f t="shared" si="754"/>
        <v>4.3000000000000003E-2</v>
      </c>
      <c r="DQ291" s="87">
        <f>IF($A291&gt;'Debt Service'!DO$58, 0, SUM(DO291:DO$295)*DP291*DO$63/DO$64+SUM(DO292:DO$295)*(DO$64-DO$63)/DO$64*DP291)</f>
        <v>0</v>
      </c>
      <c r="DR291" s="87"/>
      <c r="DS291" s="87">
        <f t="shared" si="755"/>
        <v>0</v>
      </c>
      <c r="DT291" s="77">
        <f t="shared" si="756"/>
        <v>4.3000000000000003E-2</v>
      </c>
      <c r="DU291" s="87">
        <f>IF($A291&gt;'Debt Service'!DS$58, 0, SUM(DS291:DS$295)*DT291*DS$63/DS$64+SUM(DS292:DS$295)*(DS$64-DS$63)/DS$64*DT291)</f>
        <v>0</v>
      </c>
      <c r="DV291" s="87"/>
      <c r="DW291" s="165">
        <f t="shared" si="765"/>
        <v>0</v>
      </c>
      <c r="DX291" s="165">
        <f t="shared" si="766"/>
        <v>6173768</v>
      </c>
      <c r="DY291" s="87"/>
      <c r="DZ291" s="53">
        <f t="shared" si="757"/>
        <v>2056</v>
      </c>
      <c r="EA291" s="35">
        <f t="shared" si="768"/>
        <v>0</v>
      </c>
      <c r="EB291" s="35">
        <f t="shared" si="759"/>
        <v>6173768</v>
      </c>
      <c r="EC291" s="77">
        <f>IF($A291&gt;2042, VLOOKUP($A291, Assumptions!$A$8:$D$44, Assumptions!$D$1, FALSE) +'Debt Service'!DS$307, MAX(EB291/SUM(EA291:EA$295), EC292))</f>
        <v>4.3000000000000003E-2</v>
      </c>
      <c r="ED291" s="172">
        <f t="shared" si="767"/>
        <v>33</v>
      </c>
      <c r="EE291" s="61"/>
    </row>
    <row r="292" spans="1:135" s="33" customFormat="1" outlineLevel="1">
      <c r="A292" s="7">
        <f t="shared" si="760"/>
        <v>2057</v>
      </c>
      <c r="B292" s="151">
        <f>Assumptions!B41</f>
        <v>5.3800000000000001E-2</v>
      </c>
      <c r="C292" s="151">
        <f>Assumptions!C41</f>
        <v>5.3800000000000001E-2</v>
      </c>
      <c r="D292" s="151">
        <f>Assumptions!D41</f>
        <v>3.5000000000000003E-2</v>
      </c>
      <c r="E292" s="151">
        <f>Assumptions!E41</f>
        <v>5.2999999999999999E-2</v>
      </c>
      <c r="F292" s="8"/>
      <c r="G292" s="8"/>
      <c r="H292" s="8"/>
      <c r="I292" s="8"/>
      <c r="J292" s="8"/>
      <c r="K292" s="8"/>
      <c r="L292" s="8"/>
      <c r="M292" s="87">
        <f t="shared" si="701"/>
        <v>0</v>
      </c>
      <c r="N292" s="77" t="str">
        <f t="shared" si="702"/>
        <v xml:space="preserve">   </v>
      </c>
      <c r="O292" s="87">
        <f>IF($A292&gt;'Debt Service'!M$58, 0, SUM(M292:M$295)*N292*M$63/M$64+SUM(M293:M$295)*(M$64-M$63)/M$64*N292)</f>
        <v>0</v>
      </c>
      <c r="P292" s="35"/>
      <c r="Q292" s="87">
        <f t="shared" si="703"/>
        <v>0</v>
      </c>
      <c r="R292" s="77" t="str">
        <f t="shared" si="704"/>
        <v xml:space="preserve">   </v>
      </c>
      <c r="S292" s="87">
        <f>IF($A292&gt;'Debt Service'!Q$58, 0, SUM(Q292:Q$295)*R292*Q$63/Q$64+SUM(Q293:Q$295)*(Q$64-Q$63)/Q$64*R292)</f>
        <v>0</v>
      </c>
      <c r="T292" s="35"/>
      <c r="U292" s="87">
        <f t="shared" si="705"/>
        <v>0</v>
      </c>
      <c r="V292" s="35">
        <f t="shared" si="706"/>
        <v>0</v>
      </c>
      <c r="W292" s="35"/>
      <c r="X292" s="87">
        <f t="shared" si="707"/>
        <v>0</v>
      </c>
      <c r="Y292" s="77" t="str">
        <f t="shared" si="708"/>
        <v xml:space="preserve">   </v>
      </c>
      <c r="Z292" s="87">
        <f>IF($A292&gt;'Debt Service'!X$58, 0, SUM(X292:X$295)*Y292*X$63/X$64+SUM(X293:X$295)*(X$64-X$63)/X$64*Y292)</f>
        <v>0</v>
      </c>
      <c r="AA292" s="87"/>
      <c r="AB292" s="87">
        <f t="shared" si="709"/>
        <v>0</v>
      </c>
      <c r="AC292" s="77">
        <f t="shared" si="710"/>
        <v>4.3000000000000003E-2</v>
      </c>
      <c r="AD292" s="87">
        <f>(SUM(AB292:AB$295)*AC292*AB$63/AB$64+SUM(AB293:AB$295)*(AB$64-AB$63)/AB$64*AC292)</f>
        <v>0</v>
      </c>
      <c r="AE292" s="35"/>
      <c r="AF292" s="87">
        <f t="shared" si="711"/>
        <v>0</v>
      </c>
      <c r="AG292" s="77">
        <f t="shared" si="712"/>
        <v>4.3000000000000003E-2</v>
      </c>
      <c r="AH292" s="87">
        <f>(SUM(AF292:AF$295)*AG292*AF$63/AF$64+SUM(AF293:AF$295)*(AF$64-AF$63)/AF$64*AG292)</f>
        <v>0</v>
      </c>
      <c r="AI292" s="35"/>
      <c r="AJ292" s="87">
        <f t="shared" si="713"/>
        <v>0</v>
      </c>
      <c r="AK292" s="77" t="str">
        <f t="shared" si="714"/>
        <v xml:space="preserve">   </v>
      </c>
      <c r="AL292" s="87">
        <f>IF($A292&gt;'Debt Service'!AJ$58, 0, SUM(AJ292:AJ$295)*AK292*AJ$63/AJ$64+SUM(AJ293:AJ$295)*(AJ$64-AJ$63)/AJ$64*AK292)</f>
        <v>0</v>
      </c>
      <c r="AM292" s="35"/>
      <c r="AN292" s="87">
        <f t="shared" si="715"/>
        <v>0</v>
      </c>
      <c r="AO292" s="77" t="str">
        <f t="shared" si="716"/>
        <v xml:space="preserve">   </v>
      </c>
      <c r="AP292" s="87">
        <f>IF($A292&gt;'Debt Service'!AN$58, 0, SUM(AN292:AN$295)*AO292*AN$63/AN$64+SUM(AN293:AN$295)*(AN$64-AN$63)/AN$64*AO292)</f>
        <v>0</v>
      </c>
      <c r="AQ292" s="35"/>
      <c r="AR292" s="87">
        <f t="shared" si="717"/>
        <v>0</v>
      </c>
      <c r="AS292" s="77" t="str">
        <f t="shared" si="718"/>
        <v xml:space="preserve">   </v>
      </c>
      <c r="AT292" s="87">
        <f>IF($A292&gt;'Debt Service'!AR$58, 0, SUM(AR292:AR$295)*AS292*AR$63/AR$64+SUM(AR293:AR$295)*(AR$64-AR$63)/AR$64*AS292)</f>
        <v>0</v>
      </c>
      <c r="AV292" s="35">
        <f t="shared" si="719"/>
        <v>0</v>
      </c>
      <c r="AW292" s="35">
        <f t="shared" si="720"/>
        <v>0</v>
      </c>
      <c r="AX292" s="35"/>
      <c r="AY292" s="87">
        <f t="shared" si="721"/>
        <v>0</v>
      </c>
      <c r="AZ292" s="77">
        <f t="shared" si="722"/>
        <v>4.3000000000000003E-2</v>
      </c>
      <c r="BA292" s="87">
        <f>(SUM(AY292:AY$295)*AZ292*AY$63/AY$64+SUM(AY293:AY$295)*(AY$64-AY$63)/AY$64*AZ292)</f>
        <v>0</v>
      </c>
      <c r="BB292" s="61"/>
      <c r="BC292" s="87">
        <f t="shared" si="723"/>
        <v>0</v>
      </c>
      <c r="BD292" s="77">
        <f t="shared" si="724"/>
        <v>4.3000000000000003E-2</v>
      </c>
      <c r="BE292" s="87">
        <f>IF($A292&gt;'Debt Service'!BC$58, 0, SUM(BC292:BC$295)*BD292*BC$63/BC$64+SUM(BC293:BC$295)*(BC$64-BC$63)/BC$64*BD292)</f>
        <v>0</v>
      </c>
      <c r="BF292" s="61"/>
      <c r="BG292" s="87">
        <f t="shared" si="725"/>
        <v>0</v>
      </c>
      <c r="BH292" s="77">
        <f t="shared" si="726"/>
        <v>4.3000000000000003E-2</v>
      </c>
      <c r="BI292" s="87">
        <f>IF($A292&gt;'Debt Service'!BG$58, 0, SUM(BG292:BG$295)*BH292*BG$63/BG$64+SUM(BG293:BG$295)*(BG$64-BG$63)/BG$64*BH292)</f>
        <v>0</v>
      </c>
      <c r="BJ292" s="61"/>
      <c r="BK292" s="35">
        <f t="shared" si="761"/>
        <v>0</v>
      </c>
      <c r="BL292" s="35">
        <f t="shared" si="762"/>
        <v>0</v>
      </c>
      <c r="BM292" s="8"/>
      <c r="BN292" s="87">
        <f t="shared" si="727"/>
        <v>0</v>
      </c>
      <c r="BO292" s="77">
        <f t="shared" si="728"/>
        <v>4.3000000000000003E-2</v>
      </c>
      <c r="BP292" s="87">
        <f>(SUM(BN292:BN$295)*BO292*BN$63/BN$64+SUM(BN293:BN$295)*(BN$64-BN$63)/BN$64*BO292)</f>
        <v>0</v>
      </c>
      <c r="BQ292" s="77"/>
      <c r="BR292" s="87">
        <f t="shared" si="729"/>
        <v>0</v>
      </c>
      <c r="BS292" s="77">
        <f t="shared" si="730"/>
        <v>4.3000000000000003E-2</v>
      </c>
      <c r="BT292" s="87">
        <f>IF($A292&gt;'Debt Service'!BR$58, 0, SUM(BR292:BR$295)*BS292*BR$63/BR$64+SUM(BR293:BR$295)*(BR$64-BR$63)/BR$64*BS292)</f>
        <v>0</v>
      </c>
      <c r="BU292" s="87"/>
      <c r="BV292" s="35">
        <f t="shared" si="763"/>
        <v>0</v>
      </c>
      <c r="BW292" s="35">
        <f t="shared" si="764"/>
        <v>0</v>
      </c>
      <c r="BX292" s="87"/>
      <c r="BY292" s="87"/>
      <c r="BZ292" s="77">
        <f t="shared" si="732"/>
        <v>4.3000000000000003E-2</v>
      </c>
      <c r="CA292" s="87">
        <f>(SUM(BY292:BY$295)*BZ292*BY$63/BY$64+SUM(BY293:BY$295)*(BY$64-BY$63)/BY$64*BZ292)</f>
        <v>0</v>
      </c>
      <c r="CB292" s="87"/>
      <c r="CC292" s="87">
        <f t="shared" si="733"/>
        <v>0</v>
      </c>
      <c r="CD292" s="77">
        <f t="shared" si="734"/>
        <v>4.3000000000000003E-2</v>
      </c>
      <c r="CE292" s="87">
        <f>IF(OR($A292&gt;'Debt Service'!CC$58,$A292&lt;CC$51), 0, SUM(CC292:CC$295)*CD292*CC$63/CC$64+SUM(CC293:CC$295)*(CC$64-CC$63)/CC$64*CD292)</f>
        <v>0</v>
      </c>
      <c r="CF292" s="87"/>
      <c r="CG292" s="87">
        <f t="shared" si="735"/>
        <v>71823000</v>
      </c>
      <c r="CH292" s="77">
        <f t="shared" si="736"/>
        <v>4.3000000000000003E-2</v>
      </c>
      <c r="CI292" s="87">
        <f>IF(OR($A292&gt;'Debt Service'!CG$58,$A292&lt;CG$51), 0, SUM(CG292:CG$295)*CH292*CG$63/CG$64+SUM(CG293:CG$295)*(CG$64-CG$63)/CG$64*CH292)</f>
        <v>772097.25000000012</v>
      </c>
      <c r="CJ292" s="87"/>
      <c r="CK292" s="87">
        <f t="shared" si="737"/>
        <v>71753000</v>
      </c>
      <c r="CL292" s="77">
        <f t="shared" si="738"/>
        <v>4.3000000000000003E-2</v>
      </c>
      <c r="CM292" s="87">
        <f>IF(OR($A292&gt;'Debt Service'!CK$58,$A292&lt;CK$51), 0, SUM(CK292:CK$295)*CL292*CK$63/CK$64+SUM(CK293:CK$295)*(CK$64-CK$63)/CK$64*CL292)</f>
        <v>771344.75000000012</v>
      </c>
      <c r="CN292" s="87"/>
      <c r="CO292" s="162">
        <f t="shared" si="739"/>
        <v>143576000</v>
      </c>
      <c r="CP292" s="87">
        <f t="shared" si="740"/>
        <v>1543442.0000000002</v>
      </c>
      <c r="CQ292" s="87"/>
      <c r="CR292" s="87">
        <f t="shared" si="741"/>
        <v>0</v>
      </c>
      <c r="CS292" s="77">
        <f t="shared" si="742"/>
        <v>4.3000000000000003E-2</v>
      </c>
      <c r="CT292" s="87">
        <f>IF(OR($A292&gt;'Debt Service'!CR$58,$A292&lt;CR$51), 0, SUM(CR292:CR$295)*CS292*CR$63/CR$64+SUM(CR293:CR$295)*(CR$64-CR$63)/CR$64*CS292)</f>
        <v>0</v>
      </c>
      <c r="CU292" s="87"/>
      <c r="CV292" s="87">
        <f t="shared" si="743"/>
        <v>0</v>
      </c>
      <c r="CW292" s="77">
        <f t="shared" si="744"/>
        <v>4.3000000000000003E-2</v>
      </c>
      <c r="CX292" s="87">
        <f>IF(OR($A292&gt;'Debt Service'!CV$58,$A292&lt;CV$51), 0, SUM(CV292:CV$295)*CW292*CV$63/CV$64+SUM(CV293:CV$295)*(CV$64-CV$63)/CV$64*CW292)</f>
        <v>0</v>
      </c>
      <c r="CY292" s="87"/>
      <c r="CZ292" s="165">
        <f t="shared" si="745"/>
        <v>0</v>
      </c>
      <c r="DA292" s="165">
        <f t="shared" si="746"/>
        <v>0</v>
      </c>
      <c r="DB292" s="87"/>
      <c r="DC292" s="87">
        <f t="shared" si="747"/>
        <v>0</v>
      </c>
      <c r="DD292" s="77">
        <f t="shared" si="748"/>
        <v>4.3000000000000003E-2</v>
      </c>
      <c r="DE292" s="87">
        <f>IF($A292&gt;'Debt Service'!DC$58, 0, SUM(DC292:DC$295)*DD292*DC$63/DC$64+SUM(DC293:DC$295)*(DC$64-DC$63)/DC$64*DD292)</f>
        <v>0</v>
      </c>
      <c r="DF292" s="87"/>
      <c r="DG292" s="87">
        <f t="shared" si="749"/>
        <v>0</v>
      </c>
      <c r="DH292" s="77">
        <f t="shared" si="750"/>
        <v>4.3000000000000003E-2</v>
      </c>
      <c r="DI292" s="87">
        <f>IF($A292&gt;'Debt Service'!DG$58, 0, SUM(DG292:DG$295)*DH292*DG$63/DG$64+SUM(DG293:DG$295)*(DG$64-DG$63)/DG$64*DH292)</f>
        <v>0</v>
      </c>
      <c r="DJ292" s="87"/>
      <c r="DK292" s="87">
        <f t="shared" si="751"/>
        <v>0</v>
      </c>
      <c r="DL292" s="77">
        <f t="shared" si="752"/>
        <v>4.3000000000000003E-2</v>
      </c>
      <c r="DM292" s="87">
        <f>IF($A292&gt;'Debt Service'!DK$58, 0, SUM(DK292:DK$295)*DL292*DK$63/DK$64+SUM(DK293:DK$295)*(DK$64-DK$63)/DK$64*DL292)</f>
        <v>0</v>
      </c>
      <c r="DN292" s="87"/>
      <c r="DO292" s="87">
        <f t="shared" si="753"/>
        <v>0</v>
      </c>
      <c r="DP292" s="77">
        <f t="shared" si="754"/>
        <v>4.3000000000000003E-2</v>
      </c>
      <c r="DQ292" s="87">
        <f>IF($A292&gt;'Debt Service'!DO$58, 0, SUM(DO292:DO$295)*DP292*DO$63/DO$64+SUM(DO293:DO$295)*(DO$64-DO$63)/DO$64*DP292)</f>
        <v>0</v>
      </c>
      <c r="DR292" s="87"/>
      <c r="DS292" s="87">
        <f t="shared" si="755"/>
        <v>0</v>
      </c>
      <c r="DT292" s="77">
        <f t="shared" si="756"/>
        <v>4.3000000000000003E-2</v>
      </c>
      <c r="DU292" s="87">
        <f>IF($A292&gt;'Debt Service'!DS$58, 0, SUM(DS292:DS$295)*DT292*DS$63/DS$64+SUM(DS293:DS$295)*(DS$64-DS$63)/DS$64*DT292)</f>
        <v>0</v>
      </c>
      <c r="DV292" s="87"/>
      <c r="DW292" s="165">
        <f t="shared" si="765"/>
        <v>143576000</v>
      </c>
      <c r="DX292" s="165">
        <f t="shared" si="766"/>
        <v>1543442.0000000002</v>
      </c>
      <c r="DY292" s="87"/>
      <c r="DZ292" s="53">
        <f t="shared" si="757"/>
        <v>2057</v>
      </c>
      <c r="EA292" s="35">
        <f t="shared" si="768"/>
        <v>143576000</v>
      </c>
      <c r="EB292" s="35">
        <f t="shared" si="759"/>
        <v>1543442.0000000002</v>
      </c>
      <c r="EC292" s="77">
        <f>IF($A292&gt;2042, VLOOKUP($A292, Assumptions!$A$8:$D$44, Assumptions!$D$1, FALSE) +'Debt Service'!DS$307, MAX(EB292/SUM(EA292:EA$295), EC293))</f>
        <v>4.3000000000000003E-2</v>
      </c>
      <c r="ED292" s="172">
        <f t="shared" si="767"/>
        <v>34</v>
      </c>
      <c r="EE292" s="61"/>
    </row>
    <row r="293" spans="1:135" s="33" customFormat="1" outlineLevel="1">
      <c r="A293" s="7">
        <f t="shared" si="760"/>
        <v>2058</v>
      </c>
      <c r="B293" s="151">
        <f>Assumptions!B42</f>
        <v>5.3800000000000001E-2</v>
      </c>
      <c r="C293" s="151">
        <f>Assumptions!C42</f>
        <v>5.3800000000000001E-2</v>
      </c>
      <c r="D293" s="151">
        <f>Assumptions!D42</f>
        <v>3.5000000000000003E-2</v>
      </c>
      <c r="E293" s="151">
        <f>Assumptions!E42</f>
        <v>5.2999999999999999E-2</v>
      </c>
      <c r="F293" s="8"/>
      <c r="G293" s="8"/>
      <c r="H293" s="8"/>
      <c r="I293" s="8"/>
      <c r="J293" s="8"/>
      <c r="K293" s="8"/>
      <c r="L293" s="8"/>
      <c r="M293" s="87">
        <f t="shared" si="701"/>
        <v>0</v>
      </c>
      <c r="N293" s="77" t="str">
        <f t="shared" si="702"/>
        <v xml:space="preserve">   </v>
      </c>
      <c r="O293" s="87">
        <f>IF($A293&gt;'Debt Service'!M$58, 0, SUM(M293:M$295)*N293*M$63/M$64+SUM(M294:M$295)*(M$64-M$63)/M$64*N293)</f>
        <v>0</v>
      </c>
      <c r="P293" s="35"/>
      <c r="Q293" s="87">
        <f t="shared" si="703"/>
        <v>0</v>
      </c>
      <c r="R293" s="77" t="str">
        <f t="shared" si="704"/>
        <v xml:space="preserve">   </v>
      </c>
      <c r="S293" s="87">
        <f>IF($A293&gt;'Debt Service'!Q$58, 0, SUM(Q293:Q$295)*R293*Q$63/Q$64+SUM(Q294:Q$295)*(Q$64-Q$63)/Q$64*R293)</f>
        <v>0</v>
      </c>
      <c r="T293" s="35"/>
      <c r="U293" s="87">
        <f t="shared" si="705"/>
        <v>0</v>
      </c>
      <c r="V293" s="35">
        <f t="shared" si="706"/>
        <v>0</v>
      </c>
      <c r="W293" s="35"/>
      <c r="X293" s="87">
        <f t="shared" si="707"/>
        <v>0</v>
      </c>
      <c r="Y293" s="77" t="str">
        <f t="shared" si="708"/>
        <v xml:space="preserve">   </v>
      </c>
      <c r="Z293" s="87">
        <f>IF($A293&gt;'Debt Service'!X$58, 0, SUM(X293:X$295)*Y293*X$63/X$64+SUM(X294:X$295)*(X$64-X$63)/X$64*Y293)</f>
        <v>0</v>
      </c>
      <c r="AA293" s="87"/>
      <c r="AB293" s="87">
        <f t="shared" si="709"/>
        <v>0</v>
      </c>
      <c r="AC293" s="77">
        <f t="shared" si="710"/>
        <v>4.3000000000000003E-2</v>
      </c>
      <c r="AD293" s="87">
        <f>(SUM(AB293:AB$295)*AC293*AB$63/AB$64+SUM(AB294:AB$295)*(AB$64-AB$63)/AB$64*AC293)</f>
        <v>0</v>
      </c>
      <c r="AE293" s="35"/>
      <c r="AF293" s="87">
        <f t="shared" si="711"/>
        <v>0</v>
      </c>
      <c r="AG293" s="77">
        <f t="shared" si="712"/>
        <v>4.3000000000000003E-2</v>
      </c>
      <c r="AH293" s="87">
        <f>(SUM(AF293:AF$295)*AG293*AF$63/AF$64+SUM(AF294:AF$295)*(AF$64-AF$63)/AF$64*AG293)</f>
        <v>0</v>
      </c>
      <c r="AI293" s="35"/>
      <c r="AJ293" s="87">
        <f t="shared" si="713"/>
        <v>0</v>
      </c>
      <c r="AK293" s="77" t="str">
        <f t="shared" si="714"/>
        <v xml:space="preserve">   </v>
      </c>
      <c r="AL293" s="87">
        <f>IF($A293&gt;'Debt Service'!AJ$58, 0, SUM(AJ293:AJ$295)*AK293*AJ$63/AJ$64+SUM(AJ294:AJ$295)*(AJ$64-AJ$63)/AJ$64*AK293)</f>
        <v>0</v>
      </c>
      <c r="AM293" s="35"/>
      <c r="AN293" s="87">
        <f t="shared" si="715"/>
        <v>0</v>
      </c>
      <c r="AO293" s="77" t="str">
        <f t="shared" si="716"/>
        <v xml:space="preserve">   </v>
      </c>
      <c r="AP293" s="87">
        <f>IF($A293&gt;'Debt Service'!AN$58, 0, SUM(AN293:AN$295)*AO293*AN$63/AN$64+SUM(AN294:AN$295)*(AN$64-AN$63)/AN$64*AO293)</f>
        <v>0</v>
      </c>
      <c r="AQ293" s="35"/>
      <c r="AR293" s="87">
        <f t="shared" si="717"/>
        <v>0</v>
      </c>
      <c r="AS293" s="77" t="str">
        <f t="shared" si="718"/>
        <v xml:space="preserve">   </v>
      </c>
      <c r="AT293" s="87">
        <f>IF($A293&gt;'Debt Service'!AR$58, 0, SUM(AR293:AR$295)*AS293*AR$63/AR$64+SUM(AR294:AR$295)*(AR$64-AR$63)/AR$64*AS293)</f>
        <v>0</v>
      </c>
      <c r="AV293" s="35">
        <f t="shared" si="719"/>
        <v>0</v>
      </c>
      <c r="AW293" s="35">
        <f t="shared" si="720"/>
        <v>0</v>
      </c>
      <c r="AX293" s="35"/>
      <c r="AY293" s="87">
        <f t="shared" si="721"/>
        <v>0</v>
      </c>
      <c r="AZ293" s="77">
        <f t="shared" si="722"/>
        <v>4.3000000000000003E-2</v>
      </c>
      <c r="BA293" s="87">
        <f>(SUM(AY293:AY$295)*AZ293*AY$63/AY$64+SUM(AY294:AY$295)*(AY$64-AY$63)/AY$64*AZ293)</f>
        <v>0</v>
      </c>
      <c r="BB293" s="61"/>
      <c r="BC293" s="87">
        <f t="shared" si="723"/>
        <v>0</v>
      </c>
      <c r="BD293" s="77">
        <f t="shared" si="724"/>
        <v>4.3000000000000003E-2</v>
      </c>
      <c r="BE293" s="87">
        <f>IF($A293&gt;'Debt Service'!BC$58, 0, SUM(BC293:BC$295)*BD293*BC$63/BC$64+SUM(BC294:BC$295)*(BC$64-BC$63)/BC$64*BD293)</f>
        <v>0</v>
      </c>
      <c r="BF293" s="61"/>
      <c r="BG293" s="87">
        <f t="shared" si="725"/>
        <v>0</v>
      </c>
      <c r="BH293" s="77">
        <f t="shared" si="726"/>
        <v>4.3000000000000003E-2</v>
      </c>
      <c r="BI293" s="87">
        <f>IF($A293&gt;'Debt Service'!BG$58, 0, SUM(BG293:BG$295)*BH293*BG$63/BG$64+SUM(BG294:BG$295)*(BG$64-BG$63)/BG$64*BH293)</f>
        <v>0</v>
      </c>
      <c r="BJ293" s="61"/>
      <c r="BK293" s="35">
        <f t="shared" si="761"/>
        <v>0</v>
      </c>
      <c r="BL293" s="35">
        <f t="shared" si="762"/>
        <v>0</v>
      </c>
      <c r="BM293" s="8"/>
      <c r="BN293" s="87">
        <f t="shared" si="727"/>
        <v>0</v>
      </c>
      <c r="BO293" s="77">
        <f t="shared" si="728"/>
        <v>4.3000000000000003E-2</v>
      </c>
      <c r="BP293" s="87">
        <f>(SUM(BN293:BN$295)*BO293*BN$63/BN$64+SUM(BN294:BN$295)*(BN$64-BN$63)/BN$64*BO293)</f>
        <v>0</v>
      </c>
      <c r="BQ293" s="77"/>
      <c r="BR293" s="87">
        <f t="shared" si="729"/>
        <v>0</v>
      </c>
      <c r="BS293" s="77">
        <f t="shared" si="730"/>
        <v>4.3000000000000003E-2</v>
      </c>
      <c r="BT293" s="87">
        <f>IF($A293&gt;'Debt Service'!BR$58, 0, SUM(BR293:BR$295)*BS293*BR$63/BR$64+SUM(BR294:BR$295)*(BR$64-BR$63)/BR$64*BS293)</f>
        <v>0</v>
      </c>
      <c r="BU293" s="87"/>
      <c r="BV293" s="35">
        <f t="shared" si="763"/>
        <v>0</v>
      </c>
      <c r="BW293" s="35">
        <f t="shared" si="764"/>
        <v>0</v>
      </c>
      <c r="BX293" s="87"/>
      <c r="BY293" s="87"/>
      <c r="BZ293" s="77">
        <f t="shared" si="732"/>
        <v>4.3000000000000003E-2</v>
      </c>
      <c r="CA293" s="87">
        <f>(SUM(BY293:BY$295)*BZ293*BY$63/BY$64+SUM(BY294:BY$295)*(BY$64-BY$63)/BY$64*BZ293)</f>
        <v>0</v>
      </c>
      <c r="CB293" s="87"/>
      <c r="CC293" s="87">
        <f t="shared" si="733"/>
        <v>0</v>
      </c>
      <c r="CD293" s="77">
        <f t="shared" si="734"/>
        <v>4.3000000000000003E-2</v>
      </c>
      <c r="CE293" s="87">
        <f>IF(OR($A293&gt;'Debt Service'!CC$58,$A293&lt;CC$51), 0, SUM(CC293:CC$295)*CD293*CC$63/CC$64+SUM(CC294:CC$295)*(CC$64-CC$63)/CC$64*CD293)</f>
        <v>0</v>
      </c>
      <c r="CF293" s="87"/>
      <c r="CG293" s="87">
        <f t="shared" si="735"/>
        <v>0</v>
      </c>
      <c r="CH293" s="77">
        <f t="shared" si="736"/>
        <v>4.3000000000000003E-2</v>
      </c>
      <c r="CI293" s="87">
        <f>IF(OR($A293&gt;'Debt Service'!CG$58,$A293&lt;CG$51), 0, SUM(CG293:CG$295)*CH293*CG$63/CG$64+SUM(CG294:CG$295)*(CG$64-CG$63)/CG$64*CH293)</f>
        <v>0</v>
      </c>
      <c r="CJ293" s="87"/>
      <c r="CK293" s="87">
        <f t="shared" si="737"/>
        <v>0</v>
      </c>
      <c r="CL293" s="77">
        <f t="shared" si="738"/>
        <v>4.3000000000000003E-2</v>
      </c>
      <c r="CM293" s="87">
        <f>IF(OR($A293&gt;'Debt Service'!CK$58,$A293&lt;CK$51), 0, SUM(CK293:CK$295)*CL293*CK$63/CK$64+SUM(CK294:CK$295)*(CK$64-CK$63)/CK$64*CL293)</f>
        <v>0</v>
      </c>
      <c r="CN293" s="87"/>
      <c r="CO293" s="162">
        <f t="shared" si="739"/>
        <v>0</v>
      </c>
      <c r="CP293" s="87">
        <f t="shared" si="740"/>
        <v>0</v>
      </c>
      <c r="CQ293" s="87"/>
      <c r="CR293" s="87">
        <f t="shared" si="741"/>
        <v>0</v>
      </c>
      <c r="CS293" s="77">
        <f t="shared" si="742"/>
        <v>4.3000000000000003E-2</v>
      </c>
      <c r="CT293" s="87">
        <f>IF(OR($A293&gt;'Debt Service'!CR$58,$A293&lt;CR$51), 0, SUM(CR293:CR$295)*CS293*CR$63/CR$64+SUM(CR294:CR$295)*(CR$64-CR$63)/CR$64*CS293)</f>
        <v>0</v>
      </c>
      <c r="CU293" s="87"/>
      <c r="CV293" s="87">
        <f t="shared" si="743"/>
        <v>0</v>
      </c>
      <c r="CW293" s="77">
        <f t="shared" si="744"/>
        <v>4.3000000000000003E-2</v>
      </c>
      <c r="CX293" s="87">
        <f>IF(OR($A293&gt;'Debt Service'!CV$58,$A293&lt;CV$51), 0, SUM(CV293:CV$295)*CW293*CV$63/CV$64+SUM(CV294:CV$295)*(CV$64-CV$63)/CV$64*CW293)</f>
        <v>0</v>
      </c>
      <c r="CY293" s="87"/>
      <c r="CZ293" s="165">
        <f t="shared" si="745"/>
        <v>0</v>
      </c>
      <c r="DA293" s="165">
        <f t="shared" si="746"/>
        <v>0</v>
      </c>
      <c r="DB293" s="87"/>
      <c r="DC293" s="87">
        <f t="shared" si="747"/>
        <v>0</v>
      </c>
      <c r="DD293" s="77">
        <f t="shared" si="748"/>
        <v>4.3000000000000003E-2</v>
      </c>
      <c r="DE293" s="87">
        <f>IF($A293&gt;'Debt Service'!DC$58, 0, SUM(DC293:DC$295)*DD293*DC$63/DC$64+SUM(DC294:DC$295)*(DC$64-DC$63)/DC$64*DD293)</f>
        <v>0</v>
      </c>
      <c r="DF293" s="87"/>
      <c r="DG293" s="87">
        <f t="shared" si="749"/>
        <v>0</v>
      </c>
      <c r="DH293" s="77">
        <f t="shared" si="750"/>
        <v>4.3000000000000003E-2</v>
      </c>
      <c r="DI293" s="87">
        <f>IF($A293&gt;'Debt Service'!DG$58, 0, SUM(DG293:DG$295)*DH293*DG$63/DG$64+SUM(DG294:DG$295)*(DG$64-DG$63)/DG$64*DH293)</f>
        <v>0</v>
      </c>
      <c r="DJ293" s="87"/>
      <c r="DK293" s="87">
        <f t="shared" si="751"/>
        <v>0</v>
      </c>
      <c r="DL293" s="77">
        <f t="shared" si="752"/>
        <v>4.3000000000000003E-2</v>
      </c>
      <c r="DM293" s="87">
        <f>IF($A293&gt;'Debt Service'!DK$58, 0, SUM(DK293:DK$295)*DL293*DK$63/DK$64+SUM(DK294:DK$295)*(DK$64-DK$63)/DK$64*DL293)</f>
        <v>0</v>
      </c>
      <c r="DN293" s="87"/>
      <c r="DO293" s="87">
        <f t="shared" si="753"/>
        <v>0</v>
      </c>
      <c r="DP293" s="77">
        <f t="shared" si="754"/>
        <v>4.3000000000000003E-2</v>
      </c>
      <c r="DQ293" s="87">
        <f>IF($A293&gt;'Debt Service'!DO$58, 0, SUM(DO293:DO$295)*DP293*DO$63/DO$64+SUM(DO294:DO$295)*(DO$64-DO$63)/DO$64*DP293)</f>
        <v>0</v>
      </c>
      <c r="DR293" s="87"/>
      <c r="DS293" s="87">
        <f t="shared" si="755"/>
        <v>0</v>
      </c>
      <c r="DT293" s="77">
        <f t="shared" si="756"/>
        <v>4.3000000000000003E-2</v>
      </c>
      <c r="DU293" s="87">
        <f>IF($A293&gt;'Debt Service'!DS$58, 0, SUM(DS293:DS$295)*DT293*DS$63/DS$64+SUM(DS294:DS$295)*(DS$64-DS$63)/DS$64*DT293)</f>
        <v>0</v>
      </c>
      <c r="DV293" s="87"/>
      <c r="DW293" s="165">
        <f t="shared" si="765"/>
        <v>0</v>
      </c>
      <c r="DX293" s="165">
        <f t="shared" si="766"/>
        <v>0</v>
      </c>
      <c r="DY293" s="87"/>
      <c r="DZ293" s="53">
        <f t="shared" si="757"/>
        <v>2058</v>
      </c>
      <c r="EA293" s="35">
        <f t="shared" si="768"/>
        <v>0</v>
      </c>
      <c r="EB293" s="35">
        <f t="shared" si="759"/>
        <v>0</v>
      </c>
      <c r="EC293" s="77">
        <f>IF($A293&gt;2042, VLOOKUP($A293, Assumptions!$A$8:$D$44, Assumptions!$D$1, FALSE) +'Debt Service'!DS$307, MAX(EB293/SUM(EA293:EA$295), EC294))</f>
        <v>4.3000000000000003E-2</v>
      </c>
      <c r="ED293" s="172">
        <f t="shared" si="767"/>
        <v>35</v>
      </c>
      <c r="EE293" s="61"/>
    </row>
    <row r="294" spans="1:135" s="33" customFormat="1" outlineLevel="1">
      <c r="A294" s="7">
        <f t="shared" si="760"/>
        <v>2059</v>
      </c>
      <c r="B294" s="151">
        <f>Assumptions!B43</f>
        <v>5.3800000000000001E-2</v>
      </c>
      <c r="C294" s="151">
        <f>Assumptions!C43</f>
        <v>5.3800000000000001E-2</v>
      </c>
      <c r="D294" s="151">
        <f>Assumptions!D43</f>
        <v>3.5000000000000003E-2</v>
      </c>
      <c r="E294" s="151">
        <f>Assumptions!E43</f>
        <v>5.2999999999999999E-2</v>
      </c>
      <c r="F294" s="8"/>
      <c r="G294" s="8"/>
      <c r="H294" s="8"/>
      <c r="I294" s="8"/>
      <c r="J294" s="8"/>
      <c r="K294" s="8"/>
      <c r="L294" s="8"/>
      <c r="M294" s="87">
        <f t="shared" si="701"/>
        <v>0</v>
      </c>
      <c r="N294" s="77" t="str">
        <f t="shared" si="702"/>
        <v xml:space="preserve">   </v>
      </c>
      <c r="O294" s="87">
        <f>IF($A294&gt;'Debt Service'!M$58, 0, SUM(M294:M$295)*N294*M$63/M$64+SUM(M295:M$295)*(M$64-M$63)/M$64*N294)</f>
        <v>0</v>
      </c>
      <c r="P294" s="35"/>
      <c r="Q294" s="87">
        <f t="shared" si="703"/>
        <v>0</v>
      </c>
      <c r="R294" s="77" t="str">
        <f t="shared" si="704"/>
        <v xml:space="preserve">   </v>
      </c>
      <c r="S294" s="87">
        <f>IF($A294&gt;'Debt Service'!Q$58, 0, SUM(Q294:Q$295)*R294*Q$63/Q$64+SUM(Q295:Q$295)*(Q$64-Q$63)/Q$64*R294)</f>
        <v>0</v>
      </c>
      <c r="T294" s="35"/>
      <c r="U294" s="87">
        <f t="shared" si="705"/>
        <v>0</v>
      </c>
      <c r="V294" s="35">
        <f t="shared" si="706"/>
        <v>0</v>
      </c>
      <c r="W294" s="35"/>
      <c r="X294" s="87">
        <f t="shared" si="707"/>
        <v>0</v>
      </c>
      <c r="Y294" s="77" t="str">
        <f t="shared" si="708"/>
        <v xml:space="preserve">   </v>
      </c>
      <c r="Z294" s="87">
        <f>IF($A294&gt;'Debt Service'!X$58, 0, SUM(X294:X$295)*Y294*X$63/X$64+SUM(X295:X$295)*(X$64-X$63)/X$64*Y294)</f>
        <v>0</v>
      </c>
      <c r="AA294" s="87"/>
      <c r="AB294" s="87">
        <f t="shared" si="709"/>
        <v>0</v>
      </c>
      <c r="AC294" s="77">
        <f t="shared" si="710"/>
        <v>4.3000000000000003E-2</v>
      </c>
      <c r="AD294" s="87">
        <f>(SUM(AB294:AB$295)*AC294*AB$63/AB$64+SUM(AB295:AB$295)*(AB$64-AB$63)/AB$64*AC294)</f>
        <v>0</v>
      </c>
      <c r="AE294" s="35"/>
      <c r="AF294" s="87">
        <f t="shared" si="711"/>
        <v>0</v>
      </c>
      <c r="AG294" s="77">
        <f t="shared" si="712"/>
        <v>4.3000000000000003E-2</v>
      </c>
      <c r="AH294" s="87">
        <f>(SUM(AF294:AF$295)*AG294*AF$63/AF$64+SUM(AF295:AF$295)*(AF$64-AF$63)/AF$64*AG294)</f>
        <v>0</v>
      </c>
      <c r="AI294" s="35"/>
      <c r="AJ294" s="87">
        <f t="shared" si="713"/>
        <v>0</v>
      </c>
      <c r="AK294" s="77" t="str">
        <f t="shared" si="714"/>
        <v xml:space="preserve">   </v>
      </c>
      <c r="AL294" s="87">
        <f>IF($A294&gt;'Debt Service'!AJ$58, 0, SUM(AJ294:AJ$295)*AK294*AJ$63/AJ$64+SUM(AJ295:AJ$295)*(AJ$64-AJ$63)/AJ$64*AK294)</f>
        <v>0</v>
      </c>
      <c r="AM294" s="35"/>
      <c r="AN294" s="87">
        <f t="shared" si="715"/>
        <v>0</v>
      </c>
      <c r="AO294" s="77" t="str">
        <f t="shared" si="716"/>
        <v xml:space="preserve">   </v>
      </c>
      <c r="AP294" s="87">
        <f>IF($A294&gt;'Debt Service'!AN$58, 0, SUM(AN294:AN$295)*AO294*AN$63/AN$64+SUM(AN295:AN$295)*(AN$64-AN$63)/AN$64*AO294)</f>
        <v>0</v>
      </c>
      <c r="AQ294" s="35"/>
      <c r="AR294" s="87">
        <f t="shared" si="717"/>
        <v>0</v>
      </c>
      <c r="AS294" s="77" t="str">
        <f t="shared" si="718"/>
        <v xml:space="preserve">   </v>
      </c>
      <c r="AT294" s="87">
        <f>IF($A294&gt;'Debt Service'!AR$58, 0, SUM(AR294:AR$295)*AS294*AR$63/AR$64+SUM(AR295:AR$295)*(AR$64-AR$63)/AR$64*AS294)</f>
        <v>0</v>
      </c>
      <c r="AV294" s="35">
        <f t="shared" ref="AV294:AV295" si="769">AF294+AJ294+AN294+AR294</f>
        <v>0</v>
      </c>
      <c r="AW294" s="35">
        <f t="shared" si="720"/>
        <v>0</v>
      </c>
      <c r="AX294" s="35"/>
      <c r="AY294" s="87">
        <f t="shared" si="721"/>
        <v>0</v>
      </c>
      <c r="AZ294" s="77">
        <f t="shared" si="722"/>
        <v>4.3000000000000003E-2</v>
      </c>
      <c r="BA294" s="87">
        <f>(SUM(AY294:AY$295)*AZ294*AY$63/AY$64+SUM(AY295:AY$295)*(AY$64-AY$63)/AY$64*AZ294)</f>
        <v>0</v>
      </c>
      <c r="BB294" s="61"/>
      <c r="BC294" s="87">
        <f t="shared" si="723"/>
        <v>0</v>
      </c>
      <c r="BD294" s="77">
        <f t="shared" si="724"/>
        <v>4.3000000000000003E-2</v>
      </c>
      <c r="BE294" s="87">
        <f>IF($A294&gt;'Debt Service'!BC$58, 0, SUM(BC294:BC$295)*BD294*BC$63/BC$64+SUM(BC295:BC$295)*(BC$64-BC$63)/BC$64*BD294)</f>
        <v>0</v>
      </c>
      <c r="BF294" s="61"/>
      <c r="BG294" s="87">
        <f t="shared" si="725"/>
        <v>0</v>
      </c>
      <c r="BH294" s="77">
        <f t="shared" si="726"/>
        <v>4.3000000000000003E-2</v>
      </c>
      <c r="BI294" s="87">
        <f>IF($A294&gt;'Debt Service'!BG$58, 0, SUM(BG294:BG$295)*BH294*BG$63/BG$64+SUM(BG295:BG$295)*(BG$64-BG$63)/BG$64*BH294)</f>
        <v>0</v>
      </c>
      <c r="BJ294" s="61"/>
      <c r="BK294" s="35">
        <f t="shared" si="761"/>
        <v>0</v>
      </c>
      <c r="BL294" s="35">
        <f t="shared" si="762"/>
        <v>0</v>
      </c>
      <c r="BM294" s="8"/>
      <c r="BN294" s="87">
        <f t="shared" si="727"/>
        <v>0</v>
      </c>
      <c r="BO294" s="77">
        <f t="shared" si="728"/>
        <v>4.3000000000000003E-2</v>
      </c>
      <c r="BP294" s="87">
        <f>(SUM(BN294:BN$295)*BO294*BN$63/BN$64+SUM(BN295:BN$295)*(BN$64-BN$63)/BN$64*BO294)</f>
        <v>0</v>
      </c>
      <c r="BQ294" s="77"/>
      <c r="BR294" s="87">
        <f t="shared" si="729"/>
        <v>0</v>
      </c>
      <c r="BS294" s="77">
        <f t="shared" si="730"/>
        <v>4.3000000000000003E-2</v>
      </c>
      <c r="BT294" s="87">
        <f>IF($A294&gt;'Debt Service'!BR$58, 0, SUM(BR294:BR$295)*BS294*BR$63/BR$64+SUM(BR295:BR$295)*(BR$64-BR$63)/BR$64*BS294)</f>
        <v>0</v>
      </c>
      <c r="BU294" s="87"/>
      <c r="BV294" s="35">
        <f t="shared" si="763"/>
        <v>0</v>
      </c>
      <c r="BW294" s="35">
        <f t="shared" si="764"/>
        <v>0</v>
      </c>
      <c r="BX294" s="87"/>
      <c r="BY294" s="87"/>
      <c r="BZ294" s="77">
        <f t="shared" si="732"/>
        <v>4.3000000000000003E-2</v>
      </c>
      <c r="CA294" s="87">
        <f>(SUM(BY294:BY$295)*BZ294*BY$63/BY$64+SUM(BY295:BY$295)*(BY$64-BY$63)/BY$64*BZ294)</f>
        <v>0</v>
      </c>
      <c r="CB294" s="87"/>
      <c r="CC294" s="87">
        <f t="shared" si="733"/>
        <v>0</v>
      </c>
      <c r="CD294" s="77">
        <f t="shared" si="734"/>
        <v>4.3000000000000003E-2</v>
      </c>
      <c r="CE294" s="87">
        <f>IF(OR($A294&gt;'Debt Service'!CC$58,$A294&lt;CC$51), 0, SUM(CC294:CC$295)*CD294*CC$63/CC$64+SUM(CC295:CC$295)*(CC$64-CC$63)/CC$64*CD294)</f>
        <v>0</v>
      </c>
      <c r="CF294" s="87"/>
      <c r="CG294" s="87">
        <f t="shared" si="735"/>
        <v>0</v>
      </c>
      <c r="CH294" s="77">
        <f t="shared" si="736"/>
        <v>4.3000000000000003E-2</v>
      </c>
      <c r="CI294" s="87">
        <f>IF(OR($A294&gt;'Debt Service'!CG$58,$A294&lt;CG$51), 0, SUM(CG294:CG$295)*CH294*CG$63/CG$64+SUM(CG295:CG$295)*(CG$64-CG$63)/CG$64*CH294)</f>
        <v>0</v>
      </c>
      <c r="CJ294" s="87"/>
      <c r="CK294" s="87">
        <f t="shared" si="737"/>
        <v>0</v>
      </c>
      <c r="CL294" s="77">
        <f t="shared" si="738"/>
        <v>4.3000000000000003E-2</v>
      </c>
      <c r="CM294" s="87">
        <f>IF(OR($A294&gt;'Debt Service'!CK$58,$A294&lt;CK$51), 0, SUM(CK294:CK$295)*CL294*CK$63/CK$64+SUM(CK295:CK$295)*(CK$64-CK$63)/CK$64*CL294)</f>
        <v>0</v>
      </c>
      <c r="CN294" s="87"/>
      <c r="CO294" s="162">
        <f t="shared" si="739"/>
        <v>0</v>
      </c>
      <c r="CP294" s="87">
        <f t="shared" si="740"/>
        <v>0</v>
      </c>
      <c r="CQ294" s="87"/>
      <c r="CR294" s="87">
        <f t="shared" si="741"/>
        <v>0</v>
      </c>
      <c r="CS294" s="77">
        <f t="shared" si="742"/>
        <v>4.3000000000000003E-2</v>
      </c>
      <c r="CT294" s="87">
        <f>IF(OR($A294&gt;'Debt Service'!CR$58,$A294&lt;CR$51), 0, SUM(CR294:CR$295)*CS294*CR$63/CR$64+SUM(CR295:CR$295)*(CR$64-CR$63)/CR$64*CS294)</f>
        <v>0</v>
      </c>
      <c r="CU294" s="87"/>
      <c r="CV294" s="87">
        <f t="shared" si="743"/>
        <v>0</v>
      </c>
      <c r="CW294" s="77">
        <f t="shared" si="744"/>
        <v>4.3000000000000003E-2</v>
      </c>
      <c r="CX294" s="87">
        <f>IF(OR($A294&gt;'Debt Service'!CV$58,$A294&lt;CV$51), 0, SUM(CV294:CV$295)*CW294*CV$63/CV$64+SUM(CV295:CV$295)*(CV$64-CV$63)/CV$64*CW294)</f>
        <v>0</v>
      </c>
      <c r="CY294" s="87"/>
      <c r="CZ294" s="165">
        <f t="shared" si="745"/>
        <v>0</v>
      </c>
      <c r="DA294" s="165">
        <f t="shared" si="746"/>
        <v>0</v>
      </c>
      <c r="DB294" s="87"/>
      <c r="DC294" s="87">
        <f t="shared" si="747"/>
        <v>0</v>
      </c>
      <c r="DD294" s="77">
        <f t="shared" si="748"/>
        <v>4.3000000000000003E-2</v>
      </c>
      <c r="DE294" s="87">
        <f>IF($A294&gt;'Debt Service'!DC$58, 0, SUM(DC294:DC$295)*DD294*DC$63/DC$64+SUM(DC295:DC$295)*(DC$64-DC$63)/DC$64*DD294)</f>
        <v>0</v>
      </c>
      <c r="DF294" s="87"/>
      <c r="DG294" s="87">
        <f t="shared" si="749"/>
        <v>0</v>
      </c>
      <c r="DH294" s="77">
        <f t="shared" si="750"/>
        <v>4.3000000000000003E-2</v>
      </c>
      <c r="DI294" s="87">
        <f>IF($A294&gt;'Debt Service'!DG$58, 0, SUM(DG294:DG$295)*DH294*DG$63/DG$64+SUM(DG295:DG$295)*(DG$64-DG$63)/DG$64*DH294)</f>
        <v>0</v>
      </c>
      <c r="DJ294" s="87"/>
      <c r="DK294" s="87">
        <f t="shared" si="751"/>
        <v>0</v>
      </c>
      <c r="DL294" s="77">
        <f t="shared" si="752"/>
        <v>4.3000000000000003E-2</v>
      </c>
      <c r="DM294" s="87">
        <f>IF($A294&gt;'Debt Service'!DK$58, 0, SUM(DK294:DK$295)*DL294*DK$63/DK$64+SUM(DK295:DK$295)*(DK$64-DK$63)/DK$64*DL294)</f>
        <v>0</v>
      </c>
      <c r="DN294" s="87"/>
      <c r="DO294" s="87">
        <f t="shared" si="753"/>
        <v>0</v>
      </c>
      <c r="DP294" s="77">
        <f t="shared" si="754"/>
        <v>4.3000000000000003E-2</v>
      </c>
      <c r="DQ294" s="87">
        <f>IF($A294&gt;'Debt Service'!DO$58, 0, SUM(DO294:DO$295)*DP294*DO$63/DO$64+SUM(DO295:DO$295)*(DO$64-DO$63)/DO$64*DP294)</f>
        <v>0</v>
      </c>
      <c r="DR294" s="87"/>
      <c r="DS294" s="87">
        <f t="shared" si="755"/>
        <v>0</v>
      </c>
      <c r="DT294" s="77">
        <f t="shared" si="756"/>
        <v>4.3000000000000003E-2</v>
      </c>
      <c r="DU294" s="87">
        <f>IF($A294&gt;'Debt Service'!DS$58, 0, SUM(DS294:DS$295)*DT294*DS$63/DS$64+SUM(DS295:DS$295)*(DS$64-DS$63)/DS$64*DT294)</f>
        <v>0</v>
      </c>
      <c r="DV294" s="87"/>
      <c r="DW294" s="165">
        <f t="shared" si="765"/>
        <v>0</v>
      </c>
      <c r="DX294" s="165">
        <f t="shared" si="766"/>
        <v>0</v>
      </c>
      <c r="DY294" s="87"/>
      <c r="DZ294" s="53">
        <f t="shared" si="757"/>
        <v>2059</v>
      </c>
      <c r="EA294" s="35">
        <f t="shared" si="768"/>
        <v>0</v>
      </c>
      <c r="EB294" s="35">
        <f t="shared" si="759"/>
        <v>0</v>
      </c>
      <c r="EC294" s="77">
        <f>IF($A294&gt;2042, VLOOKUP($A294, Assumptions!$A$8:$D$44, Assumptions!$D$1, FALSE) +'Debt Service'!DS$307, MAX(EB294/SUM(EA294:EA$295), EC295))</f>
        <v>4.3000000000000003E-2</v>
      </c>
      <c r="ED294" s="172">
        <f t="shared" si="767"/>
        <v>36</v>
      </c>
      <c r="EE294" s="61"/>
    </row>
    <row r="295" spans="1:135" s="33" customFormat="1" outlineLevel="1">
      <c r="A295" s="7">
        <f t="shared" si="760"/>
        <v>2060</v>
      </c>
      <c r="B295" s="151">
        <f>Assumptions!B44</f>
        <v>5.3800000000000001E-2</v>
      </c>
      <c r="C295" s="151">
        <f>Assumptions!C44</f>
        <v>5.3800000000000001E-2</v>
      </c>
      <c r="D295" s="151">
        <f>Assumptions!D44</f>
        <v>3.5000000000000003E-2</v>
      </c>
      <c r="E295" s="151">
        <f>Assumptions!E44</f>
        <v>5.2999999999999999E-2</v>
      </c>
      <c r="F295" s="8"/>
      <c r="G295" s="8"/>
      <c r="H295" s="8"/>
      <c r="I295" s="8"/>
      <c r="J295" s="8"/>
      <c r="K295" s="8"/>
      <c r="L295" s="8"/>
      <c r="M295" s="87">
        <f t="shared" si="701"/>
        <v>0</v>
      </c>
      <c r="N295" s="77" t="str">
        <f t="shared" si="702"/>
        <v xml:space="preserve">   </v>
      </c>
      <c r="O295" s="87">
        <f>IF($A295&gt;'Debt Service'!M$58, 0, SUM(M295:M$295)*N295*M$63/M$64+SUM(#REF!)*(M$64-M$63)/M$64*N295)</f>
        <v>0</v>
      </c>
      <c r="P295" s="35"/>
      <c r="Q295" s="87">
        <f t="shared" si="703"/>
        <v>0</v>
      </c>
      <c r="R295" s="77" t="str">
        <f t="shared" si="704"/>
        <v xml:space="preserve">   </v>
      </c>
      <c r="S295" s="87">
        <f>IF($A295&gt;'Debt Service'!Q$58, 0, SUM(Q295:Q$295)*R295*Q$63/Q$64+SUM(#REF!)*(Q$64-Q$63)/Q$64*R295)</f>
        <v>0</v>
      </c>
      <c r="T295" s="35"/>
      <c r="U295" s="87">
        <f t="shared" si="705"/>
        <v>0</v>
      </c>
      <c r="V295" s="35">
        <f t="shared" si="706"/>
        <v>0</v>
      </c>
      <c r="W295" s="35"/>
      <c r="X295" s="87">
        <f t="shared" si="707"/>
        <v>0</v>
      </c>
      <c r="Y295" s="77" t="str">
        <f t="shared" si="708"/>
        <v xml:space="preserve">   </v>
      </c>
      <c r="Z295" s="87">
        <f>IF($A295&gt;'Debt Service'!X$58, 0, SUM(X295:X$295)*Y295*X$63/X$64+SUM(#REF!)*(X$64-X$63)/X$64*Y295)</f>
        <v>0</v>
      </c>
      <c r="AA295" s="87"/>
      <c r="AB295" s="87">
        <f t="shared" si="709"/>
        <v>0</v>
      </c>
      <c r="AC295" s="77">
        <f t="shared" si="710"/>
        <v>4.3000000000000003E-2</v>
      </c>
      <c r="AD295" s="87">
        <f>(SUM(AB295:AB$295)*AC295*AB$63/AB$64+SUM(AB$295:AB296)*(AB$64-AB$63)/AB$64*AC295)</f>
        <v>0</v>
      </c>
      <c r="AE295" s="35"/>
      <c r="AF295" s="87">
        <f t="shared" si="711"/>
        <v>0</v>
      </c>
      <c r="AG295" s="77">
        <f t="shared" si="712"/>
        <v>4.3000000000000003E-2</v>
      </c>
      <c r="AH295" s="87">
        <f>(SUM(AF295:AF$295)*AG295*AF$63/AF$64+SUM(AF$295:AF296)*(AF$64-AF$63)/AF$64*AG295)</f>
        <v>0</v>
      </c>
      <c r="AI295" s="35"/>
      <c r="AJ295" s="87">
        <f t="shared" si="713"/>
        <v>0</v>
      </c>
      <c r="AK295" s="77" t="str">
        <f t="shared" si="714"/>
        <v xml:space="preserve">   </v>
      </c>
      <c r="AL295" s="87">
        <f>IF($A295&gt;'Debt Service'!AJ$58, 0, SUM(AJ295:AJ$295)*AK295*AJ$63/AJ$64+SUM(#REF!)*(AJ$64-AJ$63)/AJ$64*AK295)</f>
        <v>0</v>
      </c>
      <c r="AM295" s="35"/>
      <c r="AN295" s="87">
        <f t="shared" si="715"/>
        <v>0</v>
      </c>
      <c r="AO295" s="77" t="str">
        <f t="shared" si="716"/>
        <v xml:space="preserve">   </v>
      </c>
      <c r="AP295" s="87">
        <f>IF($A295&gt;'Debt Service'!AN$58, 0, SUM(AN295:AN$295)*AO295*AN$63/AN$64+SUM(#REF!)*(AN$64-AN$63)/AN$64*AO295)</f>
        <v>0</v>
      </c>
      <c r="AQ295" s="35"/>
      <c r="AR295" s="87">
        <f t="shared" si="717"/>
        <v>0</v>
      </c>
      <c r="AS295" s="77" t="str">
        <f t="shared" si="718"/>
        <v xml:space="preserve">   </v>
      </c>
      <c r="AT295" s="87">
        <f>IF($A295&gt;'Debt Service'!AR$58, 0, SUM(AR295:AR$295)*AS295*AR$63/AR$64+SUM(#REF!)*(AR$64-AR$63)/AR$64*AS295)</f>
        <v>0</v>
      </c>
      <c r="AV295" s="35">
        <f t="shared" si="769"/>
        <v>0</v>
      </c>
      <c r="AW295" s="35">
        <f t="shared" si="720"/>
        <v>0</v>
      </c>
      <c r="AX295" s="35"/>
      <c r="AY295" s="87">
        <f t="shared" si="721"/>
        <v>0</v>
      </c>
      <c r="AZ295" s="77">
        <f t="shared" si="722"/>
        <v>4.3000000000000003E-2</v>
      </c>
      <c r="BA295" s="87">
        <f>(SUM(AY295:AY$295)*AZ295*AY$63/AY$64+SUM(AY$295:AY296)*(AY$64-AY$63)/AY$64*AZ295)</f>
        <v>0</v>
      </c>
      <c r="BB295" s="61"/>
      <c r="BC295" s="87">
        <f t="shared" si="723"/>
        <v>0</v>
      </c>
      <c r="BD295" s="77">
        <f t="shared" si="724"/>
        <v>4.3000000000000003E-2</v>
      </c>
      <c r="BE295" s="87">
        <f>IF($A295&gt;'Debt Service'!BC$58, 0, SUM(BC295:BC$295)*BD295*BC$63/BC$64+SUM(#REF!)*(BC$64-BC$63)/BC$64*BD295)</f>
        <v>0</v>
      </c>
      <c r="BF295" s="61"/>
      <c r="BG295" s="87">
        <f t="shared" si="725"/>
        <v>0</v>
      </c>
      <c r="BH295" s="77">
        <f t="shared" si="726"/>
        <v>4.3000000000000003E-2</v>
      </c>
      <c r="BI295" s="87">
        <f>IF($A295&gt;'Debt Service'!BG$58, 0, SUM(BG295:BG$295)*BH295*BG$63/BG$64+SUM(#REF!)*(BG$64-BG$63)/BG$64*BH295)</f>
        <v>0</v>
      </c>
      <c r="BJ295" s="61"/>
      <c r="BK295" s="35">
        <f t="shared" si="761"/>
        <v>0</v>
      </c>
      <c r="BL295" s="35">
        <f t="shared" si="762"/>
        <v>0</v>
      </c>
      <c r="BM295" s="8"/>
      <c r="BN295" s="87">
        <f t="shared" si="727"/>
        <v>0</v>
      </c>
      <c r="BO295" s="77">
        <f t="shared" si="728"/>
        <v>4.3000000000000003E-2</v>
      </c>
      <c r="BP295" s="87">
        <f>(SUM(BN295:BN$295)*BO295*BN$63/BN$64+SUM(BN$295:BN296)*(BN$64-BN$63)/BN$64*BO295)</f>
        <v>0</v>
      </c>
      <c r="BQ295" s="77"/>
      <c r="BR295" s="87">
        <f t="shared" si="729"/>
        <v>0</v>
      </c>
      <c r="BS295" s="77">
        <f t="shared" si="730"/>
        <v>4.3000000000000003E-2</v>
      </c>
      <c r="BT295" s="87">
        <f>IF($A295&gt;'Debt Service'!BR$58, 0, SUM(BR295:BR$295)*BS295*BR$63/BR$64+SUM(#REF!)*(BR$64-BR$63)/BR$64*BS295)</f>
        <v>0</v>
      </c>
      <c r="BU295" s="87"/>
      <c r="BV295" s="35">
        <f t="shared" si="763"/>
        <v>0</v>
      </c>
      <c r="BW295" s="35">
        <f t="shared" si="764"/>
        <v>0</v>
      </c>
      <c r="BX295" s="87"/>
      <c r="BY295" s="87"/>
      <c r="BZ295" s="77">
        <f t="shared" si="732"/>
        <v>4.3000000000000003E-2</v>
      </c>
      <c r="CA295" s="87">
        <f>(SUM(BY295:BY$295)*BZ295*BY$63/BY$64+SUM(BY$295:BY296)*(BY$64-BY$63)/BY$64*BZ295)</f>
        <v>0</v>
      </c>
      <c r="CB295" s="87"/>
      <c r="CC295" s="87">
        <f t="shared" si="733"/>
        <v>0</v>
      </c>
      <c r="CD295" s="77">
        <f t="shared" si="734"/>
        <v>4.3000000000000003E-2</v>
      </c>
      <c r="CE295" s="87">
        <f>IF(OR($A295&gt;'Debt Service'!CC$58,$A295&lt;CC$51), 0, SUM(CC295:CC$295)*CD295*CC$63/CC$64+SUM(#REF!)*(CC$64-CC$63)/CC$64*CD295)</f>
        <v>0</v>
      </c>
      <c r="CF295" s="87"/>
      <c r="CG295" s="87">
        <f t="shared" si="735"/>
        <v>0</v>
      </c>
      <c r="CH295" s="77">
        <f t="shared" si="736"/>
        <v>4.3000000000000003E-2</v>
      </c>
      <c r="CI295" s="87">
        <f>IF(OR($A295&gt;'Debt Service'!CG$58,$A295&lt;CG$51), 0, SUM(CG295:CG$295)*CH295*CG$63/CG$64+SUM(#REF!)*(CG$64-CG$63)/CG$64*CH295)</f>
        <v>0</v>
      </c>
      <c r="CJ295" s="87"/>
      <c r="CK295" s="87">
        <f t="shared" si="737"/>
        <v>0</v>
      </c>
      <c r="CL295" s="77">
        <f t="shared" si="738"/>
        <v>4.3000000000000003E-2</v>
      </c>
      <c r="CM295" s="87">
        <f>IF(OR($A295&gt;'Debt Service'!CK$58,$A295&lt;CK$51), 0, SUM(CK295:CK$295)*CL295*CK$63/CK$64+SUM(#REF!)*(CK$64-CK$63)/CK$64*CL295)</f>
        <v>0</v>
      </c>
      <c r="CN295" s="87"/>
      <c r="CO295" s="162">
        <f t="shared" si="739"/>
        <v>0</v>
      </c>
      <c r="CP295" s="87">
        <f t="shared" si="740"/>
        <v>0</v>
      </c>
      <c r="CQ295" s="87"/>
      <c r="CR295" s="87">
        <f t="shared" si="741"/>
        <v>0</v>
      </c>
      <c r="CS295" s="77">
        <f t="shared" si="742"/>
        <v>4.3000000000000003E-2</v>
      </c>
      <c r="CT295" s="87">
        <f>IF(OR($A295&gt;'Debt Service'!CR$58,$A295&lt;CR$51), 0, SUM(CR295:CR$295)*CS295*CR$63/CR$64+SUM(#REF!)*(CR$64-CR$63)/CR$64*CS295)</f>
        <v>0</v>
      </c>
      <c r="CU295" s="87"/>
      <c r="CV295" s="87">
        <f t="shared" si="743"/>
        <v>0</v>
      </c>
      <c r="CW295" s="77">
        <f t="shared" si="744"/>
        <v>4.3000000000000003E-2</v>
      </c>
      <c r="CX295" s="87">
        <f>IF(OR($A295&gt;'Debt Service'!CV$58,$A295&lt;CV$51), 0, SUM(CV295:CV$295)*CW295*CV$63/CV$64+SUM(#REF!)*(CV$64-CV$63)/CV$64*CW295)</f>
        <v>0</v>
      </c>
      <c r="CY295" s="87"/>
      <c r="CZ295" s="165">
        <f t="shared" si="745"/>
        <v>0</v>
      </c>
      <c r="DA295" s="165">
        <f t="shared" si="746"/>
        <v>0</v>
      </c>
      <c r="DB295" s="87"/>
      <c r="DC295" s="87">
        <f t="shared" si="747"/>
        <v>0</v>
      </c>
      <c r="DD295" s="77">
        <f t="shared" si="748"/>
        <v>4.3000000000000003E-2</v>
      </c>
      <c r="DE295" s="87">
        <f>IF($A295&gt;'Debt Service'!DC$58, 0, SUM(DC295:DC$295)*DD295*DC$63/DC$64+SUM(#REF!)*(DC$64-DC$63)/DC$64*DD295)</f>
        <v>0</v>
      </c>
      <c r="DF295" s="87"/>
      <c r="DG295" s="87">
        <f t="shared" si="749"/>
        <v>0</v>
      </c>
      <c r="DH295" s="77">
        <f t="shared" si="750"/>
        <v>4.3000000000000003E-2</v>
      </c>
      <c r="DI295" s="87">
        <f>IF($A295&gt;'Debt Service'!DG$58, 0, SUM(DG295:DG$295)*DH295*DG$63/DG$64+SUM(#REF!)*(DG$64-DG$63)/DG$64*DH295)</f>
        <v>0</v>
      </c>
      <c r="DJ295" s="87"/>
      <c r="DK295" s="87">
        <f t="shared" si="751"/>
        <v>0</v>
      </c>
      <c r="DL295" s="77">
        <f t="shared" si="752"/>
        <v>4.3000000000000003E-2</v>
      </c>
      <c r="DM295" s="87">
        <f>IF($A295&gt;'Debt Service'!DK$58, 0, SUM(DK295:DK$295)*DL295*DK$63/DK$64+SUM(DK$295:DK296)*(DK$64-DK$63)/DK$64*DL295)</f>
        <v>0</v>
      </c>
      <c r="DN295" s="87"/>
      <c r="DO295" s="87">
        <f t="shared" si="753"/>
        <v>0</v>
      </c>
      <c r="DP295" s="77">
        <f t="shared" si="754"/>
        <v>4.3000000000000003E-2</v>
      </c>
      <c r="DQ295" s="87">
        <f>IF($A295&gt;'Debt Service'!DO$58, 0, SUM(DO295:DO$295)*DP295*DO$63/DO$64+SUM(#REF!)*(DO$64-DO$63)/DO$64*DP295)</f>
        <v>0</v>
      </c>
      <c r="DR295" s="87"/>
      <c r="DS295" s="87">
        <f t="shared" si="755"/>
        <v>0</v>
      </c>
      <c r="DT295" s="77">
        <f t="shared" si="756"/>
        <v>4.3000000000000003E-2</v>
      </c>
      <c r="DU295" s="87">
        <f>IF($A295&gt;'Debt Service'!DS$58, 0, SUM(DS295:DS$295)*DT295*DS$63/DS$64+SUM(#REF!)*(DS$64-DS$63)/DS$64*DT295)</f>
        <v>0</v>
      </c>
      <c r="DV295" s="87"/>
      <c r="DW295" s="165">
        <f t="shared" si="765"/>
        <v>0</v>
      </c>
      <c r="DX295" s="165">
        <f t="shared" si="766"/>
        <v>0</v>
      </c>
      <c r="DY295" s="87"/>
      <c r="DZ295" s="53">
        <f t="shared" si="757"/>
        <v>2060</v>
      </c>
      <c r="EA295" s="35">
        <f t="shared" si="768"/>
        <v>0</v>
      </c>
      <c r="EB295" s="35">
        <f t="shared" si="759"/>
        <v>0</v>
      </c>
      <c r="EC295" s="77">
        <f>IF($A295&gt;2042, VLOOKUP($A295, Assumptions!$A$8:$D$44, Assumptions!$D$1, FALSE) +'Debt Service'!DS$307, MAX(EB295/SUM(EA295:EA$295), EC296))</f>
        <v>4.3000000000000003E-2</v>
      </c>
      <c r="ED295" s="172">
        <f t="shared" si="767"/>
        <v>37</v>
      </c>
      <c r="EE295" s="61"/>
    </row>
    <row r="296" spans="1:135" s="6" customFormat="1" outlineLevel="1">
      <c r="A296" s="95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7"/>
      <c r="N296" s="97"/>
      <c r="O296" s="99"/>
      <c r="P296" s="99"/>
      <c r="Q296" s="98"/>
      <c r="S296" s="99"/>
      <c r="T296" s="99"/>
      <c r="U296" s="99"/>
      <c r="V296" s="99"/>
      <c r="W296" s="99"/>
      <c r="X296" s="99"/>
      <c r="Y296" s="99"/>
      <c r="Z296" s="100"/>
      <c r="AA296" s="100"/>
      <c r="AB296" s="99"/>
      <c r="AC296" s="77"/>
      <c r="AD296" s="100"/>
      <c r="AE296" s="99"/>
      <c r="AF296" s="99"/>
      <c r="AG296" s="96"/>
      <c r="AH296" s="96"/>
      <c r="AI296" s="99"/>
      <c r="AJ296" s="99"/>
      <c r="AK296" s="102"/>
      <c r="AL296" s="98"/>
      <c r="AM296" s="99"/>
      <c r="AN296" s="99"/>
      <c r="AO296" s="96"/>
      <c r="AP296" s="98"/>
      <c r="AQ296" s="99"/>
      <c r="AR296" s="99"/>
      <c r="AS296" s="96"/>
      <c r="AT296" s="98"/>
      <c r="AV296" s="99"/>
      <c r="AW296" s="99"/>
      <c r="AX296" s="99"/>
      <c r="AY296" s="87">
        <f t="shared" si="721"/>
        <v>0</v>
      </c>
      <c r="AZ296" s="103"/>
      <c r="BA296" s="103"/>
      <c r="BB296" s="103"/>
      <c r="BC296" s="87">
        <f t="shared" si="723"/>
        <v>0</v>
      </c>
      <c r="BD296" s="102"/>
      <c r="BE296" s="103"/>
      <c r="BF296" s="103"/>
      <c r="BG296" s="87">
        <f t="shared" si="725"/>
        <v>0</v>
      </c>
      <c r="BH296" s="102"/>
      <c r="BI296" s="103"/>
      <c r="BJ296" s="103"/>
      <c r="BK296" s="99"/>
      <c r="BL296" s="99"/>
      <c r="BM296" s="96"/>
      <c r="BN296" s="87">
        <f t="shared" si="727"/>
        <v>0</v>
      </c>
      <c r="BO296" s="102"/>
      <c r="BP296" s="100"/>
      <c r="BQ296" s="102"/>
      <c r="BR296" s="87">
        <f t="shared" si="729"/>
        <v>0</v>
      </c>
      <c r="BS296" s="102"/>
      <c r="BT296" s="100"/>
      <c r="BU296" s="100"/>
      <c r="BV296" s="99"/>
      <c r="BW296" s="99"/>
      <c r="BX296" s="100"/>
      <c r="BY296" s="87">
        <f>BY48-BY243</f>
        <v>0</v>
      </c>
      <c r="BZ296" s="102"/>
      <c r="CA296" s="100"/>
      <c r="CB296" s="100"/>
      <c r="CC296" s="87">
        <f t="shared" si="733"/>
        <v>0</v>
      </c>
      <c r="CD296" s="102"/>
      <c r="CE296" s="100"/>
      <c r="CF296" s="100"/>
      <c r="CG296" s="87">
        <f t="shared" si="735"/>
        <v>0</v>
      </c>
      <c r="CH296" s="102"/>
      <c r="CI296" s="100"/>
      <c r="CJ296" s="100"/>
      <c r="CK296" s="87">
        <f t="shared" si="737"/>
        <v>0</v>
      </c>
      <c r="CL296" s="102"/>
      <c r="CM296" s="100"/>
      <c r="CN296" s="100"/>
      <c r="CO296" s="100"/>
      <c r="CP296" s="100"/>
      <c r="CQ296" s="100"/>
      <c r="CR296" s="87">
        <f t="shared" si="741"/>
        <v>0</v>
      </c>
      <c r="CS296" s="102"/>
      <c r="CT296" s="100"/>
      <c r="CU296" s="100"/>
      <c r="CV296" s="87">
        <f t="shared" si="743"/>
        <v>0</v>
      </c>
      <c r="CW296" s="102"/>
      <c r="CX296" s="100"/>
      <c r="CY296" s="100"/>
      <c r="CZ296" s="100"/>
      <c r="DA296" s="100"/>
      <c r="DB296" s="100"/>
      <c r="DC296" s="87">
        <f t="shared" si="747"/>
        <v>0</v>
      </c>
      <c r="DD296" s="102"/>
      <c r="DE296" s="100"/>
      <c r="DF296" s="100"/>
      <c r="DG296" s="87">
        <f t="shared" si="749"/>
        <v>0</v>
      </c>
      <c r="DH296" s="102"/>
      <c r="DI296" s="100"/>
      <c r="DJ296" s="100"/>
      <c r="DK296" s="87">
        <f t="shared" si="751"/>
        <v>0</v>
      </c>
      <c r="DL296" s="102"/>
      <c r="DM296" s="100"/>
      <c r="DN296" s="100"/>
      <c r="DO296" s="87">
        <f t="shared" si="753"/>
        <v>0</v>
      </c>
      <c r="DP296" s="102"/>
      <c r="DQ296" s="100"/>
      <c r="DR296" s="100"/>
      <c r="DS296" s="87">
        <f t="shared" si="755"/>
        <v>0</v>
      </c>
      <c r="DT296" s="102"/>
      <c r="DU296" s="100"/>
      <c r="DV296" s="100"/>
      <c r="DW296" s="100"/>
      <c r="DX296" s="100"/>
      <c r="DY296" s="100"/>
      <c r="DZ296" s="99"/>
      <c r="EA296" s="104"/>
      <c r="EB296" s="104"/>
      <c r="EC296" s="99"/>
    </row>
    <row r="297" spans="1:135" s="33" customFormat="1" ht="16" outlineLevel="1">
      <c r="A297" s="38" t="s">
        <v>7</v>
      </c>
      <c r="B297" s="38"/>
      <c r="C297" s="8"/>
      <c r="D297" s="8"/>
      <c r="E297" s="8"/>
      <c r="F297" s="8"/>
      <c r="G297" s="8"/>
      <c r="H297" s="8"/>
      <c r="I297" s="8"/>
      <c r="J297" s="8"/>
      <c r="K297" s="8"/>
      <c r="L297" s="38"/>
      <c r="M297" s="88">
        <f>SUM(M259:M288)</f>
        <v>6133500</v>
      </c>
      <c r="N297" s="88"/>
      <c r="O297" s="88">
        <f>SUM(O259:O288)</f>
        <v>1238967</v>
      </c>
      <c r="P297" s="88"/>
      <c r="Q297" s="88">
        <f>SUM(Q259:Q288)</f>
        <v>9000000</v>
      </c>
      <c r="S297" s="88">
        <f>SUM(S259:S288)</f>
        <v>1818000</v>
      </c>
      <c r="T297" s="88"/>
      <c r="U297" s="88">
        <f>SUM(U259:U288)</f>
        <v>15133500</v>
      </c>
      <c r="V297" s="88">
        <f>SUM(V259:V288)</f>
        <v>3056967</v>
      </c>
      <c r="W297" s="88"/>
      <c r="X297" s="88">
        <f>SUM(X259:X288)</f>
        <v>197581500</v>
      </c>
      <c r="Y297" s="88"/>
      <c r="Z297" s="88">
        <f>SUM(Z259:Z288)</f>
        <v>50679654.75</v>
      </c>
      <c r="AA297" s="88"/>
      <c r="AB297" s="88">
        <f>SUM(AB259:AB288)</f>
        <v>112500000</v>
      </c>
      <c r="AC297" s="88"/>
      <c r="AD297" s="88">
        <f>SUM(AD259:AD288)</f>
        <v>47283750.000000007</v>
      </c>
      <c r="AE297" s="88"/>
      <c r="AF297" s="88">
        <f>SUM(AF259:AF288)</f>
        <v>9344000</v>
      </c>
      <c r="AG297" s="88"/>
      <c r="AH297" s="88">
        <f>SUM(AH259:AH288)</f>
        <v>5892186.2400000021</v>
      </c>
      <c r="AI297" s="88"/>
      <c r="AJ297" s="88">
        <f>SUM(AJ259:AJ288)</f>
        <v>46860000</v>
      </c>
      <c r="AK297" s="88"/>
      <c r="AL297" s="88">
        <f>SUM(AL259:AL288)</f>
        <v>40493366.100000009</v>
      </c>
      <c r="AM297" s="88"/>
      <c r="AN297" s="88">
        <f>SUM(AN259:AN288)</f>
        <v>0</v>
      </c>
      <c r="AO297" s="88"/>
      <c r="AP297" s="88">
        <f>SUM(AP259:AP288)</f>
        <v>0</v>
      </c>
      <c r="AQ297" s="88"/>
      <c r="AR297" s="88">
        <f>SUM(AR259:AR288)</f>
        <v>47028000</v>
      </c>
      <c r="AS297" s="88"/>
      <c r="AT297" s="88">
        <f>SUM(AT259:AT288)</f>
        <v>29655151.379999992</v>
      </c>
      <c r="AV297" s="88">
        <f>SUM(AV259:AV288)</f>
        <v>103232000</v>
      </c>
      <c r="AW297" s="88">
        <f>SUM(AW259:AW288)</f>
        <v>76040703.719999969</v>
      </c>
      <c r="AX297" s="88"/>
      <c r="AY297" s="89">
        <f>SUM(AY259:AY295)</f>
        <v>9439000</v>
      </c>
      <c r="AZ297" s="89"/>
      <c r="BA297" s="89">
        <f>SUM(BA259:BA295)</f>
        <v>4408956.9000000004</v>
      </c>
      <c r="BB297" s="89"/>
      <c r="BC297" s="89">
        <f>SUM(BC259:BC295)</f>
        <v>28401000</v>
      </c>
      <c r="BD297" s="88"/>
      <c r="BE297" s="89">
        <f>SUM(BE259:BE295)</f>
        <v>32227750.74000001</v>
      </c>
      <c r="BF297" s="89"/>
      <c r="BG297" s="89">
        <f>SUM(BG259:BG295)</f>
        <v>70917000</v>
      </c>
      <c r="BH297" s="88"/>
      <c r="BI297" s="89">
        <f>SUM(BI259:BI295)</f>
        <v>80472356.580000013</v>
      </c>
      <c r="BJ297" s="89"/>
      <c r="BK297" s="88">
        <f>SUM(BK259:BK295)</f>
        <v>108757000</v>
      </c>
      <c r="BL297" s="88">
        <f>SUM(BL259:BL295)</f>
        <v>117109064.22</v>
      </c>
      <c r="BM297" s="39"/>
      <c r="BN297" s="88">
        <f>SUM(BN259:BN295)</f>
        <v>48008000</v>
      </c>
      <c r="BO297" s="39"/>
      <c r="BP297" s="88">
        <f>SUM(BP259:BP295)</f>
        <v>2242453.6800000002</v>
      </c>
      <c r="BQ297" s="39"/>
      <c r="BR297" s="88">
        <f>SUM(BR259:BR295)</f>
        <v>71572000</v>
      </c>
      <c r="BS297" s="39"/>
      <c r="BT297" s="88">
        <f>SUM(BT259:BT295)</f>
        <v>103271715.94666666</v>
      </c>
      <c r="BU297" s="88"/>
      <c r="BV297" s="88">
        <f>SUM(BV259:BV295)</f>
        <v>119580000</v>
      </c>
      <c r="BW297" s="88">
        <f>SUM(BW259:BW295)</f>
        <v>105514169.62666667</v>
      </c>
      <c r="BX297" s="88"/>
      <c r="BY297" s="88">
        <f>SUM(BY259:BY295)</f>
        <v>43128000</v>
      </c>
      <c r="BZ297" s="39"/>
      <c r="CA297" s="88">
        <f>SUM(CA259:CA295)</f>
        <v>12087053.280000001</v>
      </c>
      <c r="CB297" s="88"/>
      <c r="CC297" s="88">
        <f>SUM(CC259:CC295)</f>
        <v>4690000</v>
      </c>
      <c r="CD297" s="39"/>
      <c r="CE297" s="88">
        <f>SUM(CE259:CE295)</f>
        <v>1423954.3499999999</v>
      </c>
      <c r="CF297" s="88"/>
      <c r="CG297" s="88">
        <f>SUM(CG259:CG295)</f>
        <v>71823000</v>
      </c>
      <c r="CH297" s="39"/>
      <c r="CI297" s="88">
        <f>SUM(CI259:CI295)</f>
        <v>107751737.51999998</v>
      </c>
      <c r="CJ297" s="88"/>
      <c r="CK297" s="88">
        <f>SUM(CK259:CK295)</f>
        <v>71753000</v>
      </c>
      <c r="CL297" s="39"/>
      <c r="CM297" s="88">
        <f>SUM(CM259:CM295)</f>
        <v>107646720.72000003</v>
      </c>
      <c r="CN297" s="88"/>
      <c r="CO297" s="88">
        <f>SUM(CO259:CO295)</f>
        <v>148266000</v>
      </c>
      <c r="CP297" s="88">
        <f>SUM(CP259:CP295)</f>
        <v>216822412.59000009</v>
      </c>
      <c r="CQ297" s="88"/>
      <c r="CR297" s="88">
        <f>SUM(CR259:CR295)</f>
        <v>20992000</v>
      </c>
      <c r="CS297" s="39"/>
      <c r="CT297" s="88">
        <f>SUM(CT259:CT295)</f>
        <v>5392949.7600000007</v>
      </c>
      <c r="CU297" s="88"/>
      <c r="CV297" s="88">
        <f>SUM(CV259:CV295)</f>
        <v>71621000</v>
      </c>
      <c r="CW297" s="39"/>
      <c r="CX297" s="88">
        <f>SUM(CX259:CX295)</f>
        <v>92050174.039999977</v>
      </c>
      <c r="CY297" s="88"/>
      <c r="CZ297" s="88">
        <f>SUM(CZ259:CZ295)</f>
        <v>92613000</v>
      </c>
      <c r="DA297" s="88">
        <f>SUM(DA259:DA295)</f>
        <v>97443123.799999967</v>
      </c>
      <c r="DB297" s="88"/>
      <c r="DC297" s="88">
        <f>SUM(DC259:DC295)</f>
        <v>133566000</v>
      </c>
      <c r="DD297" s="39"/>
      <c r="DE297" s="88">
        <f>SUM(DE259:DE295)</f>
        <v>61282731.663178049</v>
      </c>
      <c r="DF297" s="88"/>
      <c r="DG297" s="88">
        <f>SUM(DG259:DG295)</f>
        <v>0</v>
      </c>
      <c r="DH297" s="39"/>
      <c r="DI297" s="88">
        <f>SUM(DI259:DI295)</f>
        <v>0</v>
      </c>
      <c r="DJ297" s="88"/>
      <c r="DK297" s="88">
        <f>SUM(DK259:DK295)</f>
        <v>0</v>
      </c>
      <c r="DL297" s="39"/>
      <c r="DM297" s="88">
        <f>SUM(DM259:DM295)</f>
        <v>0</v>
      </c>
      <c r="DN297" s="88"/>
      <c r="DO297" s="88">
        <f>SUM(DO259:DO295)</f>
        <v>0</v>
      </c>
      <c r="DP297" s="39"/>
      <c r="DQ297" s="88">
        <f>SUM(DQ259:DQ295)</f>
        <v>0</v>
      </c>
      <c r="DR297" s="88"/>
      <c r="DS297" s="88">
        <f>SUM(DS259:DS295)</f>
        <v>0</v>
      </c>
      <c r="DT297" s="39"/>
      <c r="DU297" s="88">
        <f>SUM(DU259:DU295)</f>
        <v>0</v>
      </c>
      <c r="DV297" s="88"/>
      <c r="DW297" s="88">
        <f>SUM(DW259:DW296)</f>
        <v>749142000</v>
      </c>
      <c r="DX297" s="88">
        <f>SUM(DX259:DX296)</f>
        <v>686299258.89984477</v>
      </c>
      <c r="DY297" s="88"/>
      <c r="DZ297" s="39"/>
      <c r="EA297" s="39">
        <f>SUM(EA259:EA296)</f>
        <v>1074357000</v>
      </c>
      <c r="EB297" s="39">
        <f>SUM(EB259:EB295)</f>
        <v>736639975.89984488</v>
      </c>
      <c r="EC297" s="39"/>
    </row>
    <row r="298" spans="1:135" outlineLevel="1">
      <c r="EA298" s="31">
        <f>EA49-EA244-EA297+EA68</f>
        <v>46728250</v>
      </c>
    </row>
    <row r="299" spans="1:135" outlineLevel="1">
      <c r="EA299" s="66" t="s">
        <v>177</v>
      </c>
    </row>
    <row r="300" spans="1:135" outlineLevel="1"/>
    <row r="301" spans="1:135" outlineLevel="1">
      <c r="A301" s="234" t="s">
        <v>136</v>
      </c>
      <c r="B301" s="234"/>
      <c r="C301" s="234"/>
      <c r="D301" s="234"/>
      <c r="E301" s="234"/>
      <c r="F301" s="234"/>
      <c r="G301" s="234"/>
      <c r="H301" s="234"/>
      <c r="I301" s="234"/>
      <c r="J301" s="234"/>
      <c r="K301" s="234"/>
      <c r="L301" s="234"/>
      <c r="M301" s="19" t="s">
        <v>16</v>
      </c>
      <c r="N301" s="19"/>
      <c r="O301" s="19"/>
      <c r="P301" s="19"/>
      <c r="Q301" s="19" t="s">
        <v>16</v>
      </c>
      <c r="X301" s="19" t="s">
        <v>16</v>
      </c>
      <c r="AB301" s="19" t="s">
        <v>16</v>
      </c>
      <c r="AF301" s="19" t="s">
        <v>16</v>
      </c>
      <c r="AJ301" s="19" t="s">
        <v>16</v>
      </c>
      <c r="AN301" s="19" t="s">
        <v>16</v>
      </c>
      <c r="AR301" s="19" t="s">
        <v>16</v>
      </c>
      <c r="AY301" s="19" t="s">
        <v>16</v>
      </c>
      <c r="BC301" s="19" t="s">
        <v>16</v>
      </c>
      <c r="BG301" s="19" t="s">
        <v>16</v>
      </c>
      <c r="BN301" s="142" t="s">
        <v>16</v>
      </c>
      <c r="BR301" s="142" t="s">
        <v>16</v>
      </c>
      <c r="BV301" s="142" t="s">
        <v>16</v>
      </c>
      <c r="BY301" s="142" t="s">
        <v>16</v>
      </c>
      <c r="CC301" s="142" t="s">
        <v>16</v>
      </c>
      <c r="CG301" s="142" t="s">
        <v>16</v>
      </c>
      <c r="CK301" s="142" t="s">
        <v>16</v>
      </c>
      <c r="CR301" s="142" t="s">
        <v>16</v>
      </c>
      <c r="CV301" s="142" t="s">
        <v>16</v>
      </c>
      <c r="CZ301" s="142" t="s">
        <v>16</v>
      </c>
      <c r="DC301" s="142" t="s">
        <v>16</v>
      </c>
      <c r="DG301" s="142" t="s">
        <v>16</v>
      </c>
      <c r="DK301" s="142" t="s">
        <v>16</v>
      </c>
      <c r="DO301" s="142" t="s">
        <v>16</v>
      </c>
      <c r="DS301" s="142" t="s">
        <v>16</v>
      </c>
    </row>
    <row r="302" spans="1:135" outlineLevel="1">
      <c r="A302" s="234" t="s">
        <v>113</v>
      </c>
      <c r="B302" s="234"/>
      <c r="C302" s="234"/>
      <c r="D302" s="234"/>
      <c r="E302" s="234"/>
      <c r="F302" s="234"/>
      <c r="G302" s="234"/>
      <c r="H302" s="234"/>
      <c r="I302" s="234"/>
      <c r="J302" s="234"/>
      <c r="K302" s="234"/>
      <c r="L302" s="234"/>
      <c r="M302" s="19">
        <v>1</v>
      </c>
      <c r="N302" s="19"/>
      <c r="O302" s="19"/>
      <c r="P302" s="19"/>
      <c r="Q302" s="19">
        <v>1</v>
      </c>
      <c r="X302" s="19">
        <v>1</v>
      </c>
      <c r="AB302" s="19">
        <v>1</v>
      </c>
      <c r="AF302" s="19">
        <v>1</v>
      </c>
      <c r="AJ302" s="19">
        <v>1</v>
      </c>
      <c r="AN302" s="19">
        <v>1</v>
      </c>
      <c r="AR302" s="19">
        <v>1</v>
      </c>
      <c r="AY302" s="19">
        <v>1</v>
      </c>
      <c r="BC302" s="19">
        <v>1</v>
      </c>
      <c r="BG302" s="19">
        <v>1</v>
      </c>
      <c r="BN302" s="142">
        <v>1</v>
      </c>
      <c r="BR302" s="142">
        <v>1</v>
      </c>
      <c r="BV302" s="142">
        <v>1</v>
      </c>
      <c r="BY302" s="142">
        <v>1</v>
      </c>
      <c r="CC302" s="142">
        <v>1</v>
      </c>
      <c r="CG302" s="142">
        <v>1</v>
      </c>
      <c r="CK302" s="142">
        <v>1</v>
      </c>
      <c r="CR302" s="142">
        <v>1</v>
      </c>
      <c r="CV302" s="142">
        <v>1</v>
      </c>
      <c r="CZ302" s="142">
        <v>1</v>
      </c>
      <c r="DC302" s="142">
        <v>1</v>
      </c>
      <c r="DG302" s="142">
        <v>1</v>
      </c>
      <c r="DK302" s="142">
        <v>1</v>
      </c>
      <c r="DO302" s="142">
        <v>1</v>
      </c>
      <c r="DS302" s="142">
        <v>1</v>
      </c>
    </row>
    <row r="303" spans="1:135" outlineLevel="1">
      <c r="A303" s="234" t="s">
        <v>96</v>
      </c>
      <c r="B303" s="234"/>
      <c r="C303" s="234"/>
      <c r="D303" s="234"/>
      <c r="E303" s="234"/>
      <c r="F303" s="234"/>
      <c r="G303" s="234"/>
      <c r="H303" s="234"/>
      <c r="I303" s="234"/>
      <c r="J303" s="234"/>
      <c r="K303" s="234"/>
      <c r="L303" s="234"/>
      <c r="M303" s="19">
        <v>1.55E-2</v>
      </c>
      <c r="N303" s="19"/>
      <c r="O303" s="19"/>
      <c r="P303" s="19"/>
      <c r="Q303" s="19">
        <v>1.55E-2</v>
      </c>
      <c r="X303" s="19">
        <v>1.6299999999999999E-2</v>
      </c>
      <c r="AB303" s="19">
        <v>1.17E-2</v>
      </c>
      <c r="AF303" s="19">
        <v>1.171E-2</v>
      </c>
      <c r="AJ303" s="19">
        <v>1.171E-2</v>
      </c>
      <c r="AN303" s="19">
        <v>1.171E-2</v>
      </c>
      <c r="AR303" s="19">
        <v>1.171E-2</v>
      </c>
      <c r="AY303" s="19">
        <v>1.171E-2</v>
      </c>
      <c r="BC303" s="19">
        <v>1.171E-2</v>
      </c>
      <c r="BG303" s="19">
        <v>1.171E-2</v>
      </c>
      <c r="BN303" s="142">
        <v>1.171E-2</v>
      </c>
      <c r="BR303" s="142">
        <v>1.171E-2</v>
      </c>
      <c r="BV303" s="142">
        <v>1.171E-2</v>
      </c>
      <c r="BY303" s="142">
        <v>1.171E-2</v>
      </c>
      <c r="CC303" s="142">
        <v>1.171E-2</v>
      </c>
      <c r="CG303" s="142">
        <v>1.171E-2</v>
      </c>
      <c r="CK303" s="142">
        <v>1.171E-2</v>
      </c>
      <c r="CR303" s="142">
        <v>1.171E-2</v>
      </c>
      <c r="CV303" s="142">
        <v>1.171E-2</v>
      </c>
      <c r="CZ303" s="142">
        <v>1.171E-2</v>
      </c>
      <c r="DC303" s="142">
        <v>1.171E-2</v>
      </c>
      <c r="DG303" s="142">
        <v>1.171E-2</v>
      </c>
      <c r="DK303" s="142">
        <v>1.171E-2</v>
      </c>
      <c r="DO303" s="142">
        <v>1.171E-2</v>
      </c>
      <c r="DS303" s="142">
        <v>1.171E-2</v>
      </c>
    </row>
    <row r="304" spans="1:135" outlineLevel="1"/>
    <row r="305" spans="28:123" outlineLevel="1">
      <c r="AB305" s="19" t="s">
        <v>16</v>
      </c>
      <c r="AF305" s="19" t="s">
        <v>16</v>
      </c>
      <c r="AJ305" s="19"/>
      <c r="AV305" s="19"/>
      <c r="AY305" s="19" t="s">
        <v>16</v>
      </c>
      <c r="BC305" s="19" t="s">
        <v>16</v>
      </c>
      <c r="BG305" s="19" t="s">
        <v>16</v>
      </c>
      <c r="BK305" s="19" t="s">
        <v>16</v>
      </c>
      <c r="BN305" s="19" t="s">
        <v>16</v>
      </c>
      <c r="BR305" s="19" t="s">
        <v>16</v>
      </c>
      <c r="BV305" s="19" t="s">
        <v>16</v>
      </c>
      <c r="BY305" s="19" t="s">
        <v>16</v>
      </c>
      <c r="CC305" s="19" t="s">
        <v>16</v>
      </c>
      <c r="CG305" s="19" t="s">
        <v>16</v>
      </c>
      <c r="CK305" s="19" t="s">
        <v>16</v>
      </c>
      <c r="CR305" s="19" t="s">
        <v>16</v>
      </c>
      <c r="CV305" s="19" t="s">
        <v>16</v>
      </c>
      <c r="CZ305" s="19" t="s">
        <v>16</v>
      </c>
      <c r="DC305" s="19" t="s">
        <v>16</v>
      </c>
      <c r="DG305" s="19" t="s">
        <v>16</v>
      </c>
      <c r="DK305" s="19" t="s">
        <v>16</v>
      </c>
      <c r="DO305" s="19" t="s">
        <v>16</v>
      </c>
      <c r="DS305" s="19" t="s">
        <v>16</v>
      </c>
    </row>
    <row r="306" spans="28:123" outlineLevel="1">
      <c r="AB306" s="19">
        <v>1</v>
      </c>
      <c r="AF306" s="19">
        <v>1</v>
      </c>
      <c r="AJ306" s="19"/>
      <c r="AV306" s="19"/>
      <c r="AY306" s="19">
        <v>1</v>
      </c>
      <c r="BC306" s="19">
        <v>1</v>
      </c>
      <c r="BG306" s="19">
        <v>1</v>
      </c>
      <c r="BK306" s="19">
        <v>1</v>
      </c>
      <c r="BN306" s="19">
        <v>1</v>
      </c>
      <c r="BR306" s="19">
        <v>1</v>
      </c>
      <c r="BV306" s="19">
        <v>1</v>
      </c>
      <c r="BY306" s="19">
        <v>1</v>
      </c>
      <c r="CC306" s="19">
        <v>1</v>
      </c>
      <c r="CG306" s="19">
        <v>1</v>
      </c>
      <c r="CK306" s="19">
        <v>1</v>
      </c>
      <c r="CR306" s="19">
        <v>1</v>
      </c>
      <c r="CV306" s="19">
        <v>1</v>
      </c>
      <c r="CZ306" s="19">
        <v>1</v>
      </c>
      <c r="DC306" s="19">
        <v>1</v>
      </c>
      <c r="DG306" s="19">
        <v>1</v>
      </c>
      <c r="DK306" s="19">
        <v>1</v>
      </c>
      <c r="DO306" s="19">
        <v>1</v>
      </c>
      <c r="DS306" s="19">
        <v>1</v>
      </c>
    </row>
    <row r="307" spans="28:123" outlineLevel="1">
      <c r="AB307" s="19">
        <v>8.0000000000000002E-3</v>
      </c>
      <c r="AF307" s="19">
        <v>8.0000000000000002E-3</v>
      </c>
      <c r="AJ307" s="19"/>
      <c r="AV307" s="19"/>
      <c r="AY307" s="19">
        <v>8.0000000000000002E-3</v>
      </c>
      <c r="BC307" s="19">
        <v>8.0000000000000002E-3</v>
      </c>
      <c r="BG307" s="19">
        <v>8.0000000000000002E-3</v>
      </c>
      <c r="BK307" s="19">
        <v>8.0000000000000002E-3</v>
      </c>
      <c r="BN307" s="19">
        <v>8.0000000000000002E-3</v>
      </c>
      <c r="BR307" s="19">
        <v>8.0000000000000002E-3</v>
      </c>
      <c r="BV307" s="19">
        <v>8.0000000000000002E-3</v>
      </c>
      <c r="BY307" s="19">
        <v>8.0000000000000002E-3</v>
      </c>
      <c r="CC307" s="19">
        <v>8.0000000000000002E-3</v>
      </c>
      <c r="CG307" s="19">
        <v>8.0000000000000002E-3</v>
      </c>
      <c r="CK307" s="19">
        <v>8.0000000000000002E-3</v>
      </c>
      <c r="CR307" s="19">
        <v>8.0000000000000002E-3</v>
      </c>
      <c r="CV307" s="19">
        <v>8.0000000000000002E-3</v>
      </c>
      <c r="CZ307" s="19">
        <v>8.0000000000000002E-3</v>
      </c>
      <c r="DC307" s="19">
        <v>8.0000000000000002E-3</v>
      </c>
      <c r="DG307" s="19">
        <v>8.0000000000000002E-3</v>
      </c>
      <c r="DK307" s="19">
        <v>8.0000000000000002E-3</v>
      </c>
      <c r="DO307" s="19">
        <v>8.0000000000000002E-3</v>
      </c>
      <c r="DS307" s="19">
        <v>8.0000000000000002E-3</v>
      </c>
    </row>
  </sheetData>
  <mergeCells count="231">
    <mergeCell ref="X142:Z142"/>
    <mergeCell ref="B77:E77"/>
    <mergeCell ref="AF203:AH203"/>
    <mergeCell ref="AJ203:AL203"/>
    <mergeCell ref="AN203:AP203"/>
    <mergeCell ref="AR203:AT203"/>
    <mergeCell ref="AN142:AP142"/>
    <mergeCell ref="AR142:AT142"/>
    <mergeCell ref="AV142:AW142"/>
    <mergeCell ref="AJ142:AL142"/>
    <mergeCell ref="A187:L187"/>
    <mergeCell ref="A188:L188"/>
    <mergeCell ref="A185:L185"/>
    <mergeCell ref="A186:L186"/>
    <mergeCell ref="A191:L191"/>
    <mergeCell ref="A192:L192"/>
    <mergeCell ref="A189:L189"/>
    <mergeCell ref="A124:L124"/>
    <mergeCell ref="A125:L125"/>
    <mergeCell ref="AB142:AD142"/>
    <mergeCell ref="A123:L123"/>
    <mergeCell ref="A122:L122"/>
    <mergeCell ref="AV203:AW203"/>
    <mergeCell ref="AF142:AH142"/>
    <mergeCell ref="DZ142:EB142"/>
    <mergeCell ref="A136:L136"/>
    <mergeCell ref="CK78:CM78"/>
    <mergeCell ref="CG78:CI78"/>
    <mergeCell ref="BG78:BI78"/>
    <mergeCell ref="BK78:BL78"/>
    <mergeCell ref="BN78:BP78"/>
    <mergeCell ref="BR78:BT78"/>
    <mergeCell ref="AY78:BA78"/>
    <mergeCell ref="AY142:BA142"/>
    <mergeCell ref="AJ78:AL78"/>
    <mergeCell ref="AN78:AP78"/>
    <mergeCell ref="BC78:BE78"/>
    <mergeCell ref="AV78:AW78"/>
    <mergeCell ref="BV78:BW78"/>
    <mergeCell ref="BY78:CA78"/>
    <mergeCell ref="A121:L121"/>
    <mergeCell ref="M142:O142"/>
    <mergeCell ref="A128:L128"/>
    <mergeCell ref="A131:L131"/>
    <mergeCell ref="A126:L126"/>
    <mergeCell ref="Q142:S142"/>
    <mergeCell ref="U142:V142"/>
    <mergeCell ref="CZ78:DA78"/>
    <mergeCell ref="CO8:CP8"/>
    <mergeCell ref="CR8:CT8"/>
    <mergeCell ref="CV8:CX8"/>
    <mergeCell ref="CZ8:DA8"/>
    <mergeCell ref="EA256:EB256"/>
    <mergeCell ref="BR203:BT203"/>
    <mergeCell ref="BV203:BW203"/>
    <mergeCell ref="BY203:CA203"/>
    <mergeCell ref="CC203:CE203"/>
    <mergeCell ref="CO78:CP78"/>
    <mergeCell ref="CR78:CT78"/>
    <mergeCell ref="DZ203:EB203"/>
    <mergeCell ref="DZ78:EB78"/>
    <mergeCell ref="DC8:DE8"/>
    <mergeCell ref="DG8:DI8"/>
    <mergeCell ref="DS8:DU8"/>
    <mergeCell ref="DC203:DE203"/>
    <mergeCell ref="DG203:DI203"/>
    <mergeCell ref="DS203:DU203"/>
    <mergeCell ref="CG256:CI256"/>
    <mergeCell ref="DW8:DX8"/>
    <mergeCell ref="CC8:CE8"/>
    <mergeCell ref="CZ203:DA203"/>
    <mergeCell ref="CO203:CP203"/>
    <mergeCell ref="A303:L303"/>
    <mergeCell ref="BR256:BT256"/>
    <mergeCell ref="BV256:BW256"/>
    <mergeCell ref="BY256:CA256"/>
    <mergeCell ref="CC256:CE256"/>
    <mergeCell ref="BC256:BE256"/>
    <mergeCell ref="BG256:BI256"/>
    <mergeCell ref="BK256:BL256"/>
    <mergeCell ref="BN256:BP256"/>
    <mergeCell ref="AY256:BA256"/>
    <mergeCell ref="AF256:AH256"/>
    <mergeCell ref="AJ256:AL256"/>
    <mergeCell ref="AN256:AP256"/>
    <mergeCell ref="AR256:AT256"/>
    <mergeCell ref="AV256:AW256"/>
    <mergeCell ref="M256:O256"/>
    <mergeCell ref="Q256:S256"/>
    <mergeCell ref="A301:L301"/>
    <mergeCell ref="AB256:AD256"/>
    <mergeCell ref="G256:H256"/>
    <mergeCell ref="A302:L302"/>
    <mergeCell ref="J256:K256"/>
    <mergeCell ref="U256:V256"/>
    <mergeCell ref="X256:Z256"/>
    <mergeCell ref="B255:E255"/>
    <mergeCell ref="A70:L70"/>
    <mergeCell ref="A71:L71"/>
    <mergeCell ref="G203:H203"/>
    <mergeCell ref="J203:K203"/>
    <mergeCell ref="A250:L250"/>
    <mergeCell ref="A248:L248"/>
    <mergeCell ref="A249:L249"/>
    <mergeCell ref="A135:L135"/>
    <mergeCell ref="A199:L199"/>
    <mergeCell ref="A190:L190"/>
    <mergeCell ref="A197:L197"/>
    <mergeCell ref="A132:L132"/>
    <mergeCell ref="A133:L133"/>
    <mergeCell ref="A134:L134"/>
    <mergeCell ref="A193:L193"/>
    <mergeCell ref="A194:L194"/>
    <mergeCell ref="A195:L195"/>
    <mergeCell ref="A196:L196"/>
    <mergeCell ref="A127:L127"/>
    <mergeCell ref="A252:L252"/>
    <mergeCell ref="B202:E202"/>
    <mergeCell ref="A200:L200"/>
    <mergeCell ref="A253:L253"/>
    <mergeCell ref="J7:K7"/>
    <mergeCell ref="X8:Z8"/>
    <mergeCell ref="AB8:AD8"/>
    <mergeCell ref="AF8:AH8"/>
    <mergeCell ref="AJ8:AL8"/>
    <mergeCell ref="M8:O8"/>
    <mergeCell ref="Q8:S8"/>
    <mergeCell ref="U8:V8"/>
    <mergeCell ref="F7:H7"/>
    <mergeCell ref="DO203:DQ203"/>
    <mergeCell ref="DO256:DQ256"/>
    <mergeCell ref="AY203:BA203"/>
    <mergeCell ref="CG203:CI203"/>
    <mergeCell ref="CK203:CM203"/>
    <mergeCell ref="BN203:BP203"/>
    <mergeCell ref="M203:O203"/>
    <mergeCell ref="Q203:S203"/>
    <mergeCell ref="U203:V203"/>
    <mergeCell ref="X203:Z203"/>
    <mergeCell ref="AB203:AD203"/>
    <mergeCell ref="DK142:DM142"/>
    <mergeCell ref="DK203:DM203"/>
    <mergeCell ref="DK256:DM256"/>
    <mergeCell ref="DC256:DE256"/>
    <mergeCell ref="BC203:BE203"/>
    <mergeCell ref="BG203:BI203"/>
    <mergeCell ref="BK203:BL203"/>
    <mergeCell ref="CR203:CT203"/>
    <mergeCell ref="CV203:CX203"/>
    <mergeCell ref="BR142:BT142"/>
    <mergeCell ref="CK8:CM8"/>
    <mergeCell ref="BN8:BP8"/>
    <mergeCell ref="BY8:CA8"/>
    <mergeCell ref="CG8:CI8"/>
    <mergeCell ref="DW78:DX78"/>
    <mergeCell ref="DW256:DX256"/>
    <mergeCell ref="CO256:CP256"/>
    <mergeCell ref="CR256:CT256"/>
    <mergeCell ref="CV256:CX256"/>
    <mergeCell ref="CZ256:DA256"/>
    <mergeCell ref="CK256:CM256"/>
    <mergeCell ref="DG256:DI256"/>
    <mergeCell ref="DS256:DU256"/>
    <mergeCell ref="DW142:DX142"/>
    <mergeCell ref="DC78:DE78"/>
    <mergeCell ref="DG78:DI78"/>
    <mergeCell ref="DS78:DU78"/>
    <mergeCell ref="DC142:DE142"/>
    <mergeCell ref="DG142:DI142"/>
    <mergeCell ref="DS142:DU142"/>
    <mergeCell ref="CO142:CP142"/>
    <mergeCell ref="CR142:CT142"/>
    <mergeCell ref="CV142:CX142"/>
    <mergeCell ref="DW203:DX203"/>
    <mergeCell ref="B141:E141"/>
    <mergeCell ref="A67:L67"/>
    <mergeCell ref="A61:L61"/>
    <mergeCell ref="A62:L62"/>
    <mergeCell ref="A63:L63"/>
    <mergeCell ref="A74:L74"/>
    <mergeCell ref="A138:L138"/>
    <mergeCell ref="A53:L53"/>
    <mergeCell ref="A54:L54"/>
    <mergeCell ref="AN8:AP8"/>
    <mergeCell ref="CV78:CX78"/>
    <mergeCell ref="DO8:DQ8"/>
    <mergeCell ref="DO78:DQ78"/>
    <mergeCell ref="DO142:DQ142"/>
    <mergeCell ref="A58:L58"/>
    <mergeCell ref="DK8:DM8"/>
    <mergeCell ref="DK78:DM78"/>
    <mergeCell ref="BV142:BW142"/>
    <mergeCell ref="BY142:CA142"/>
    <mergeCell ref="AR8:AT8"/>
    <mergeCell ref="AY8:BA8"/>
    <mergeCell ref="BC8:BE8"/>
    <mergeCell ref="BG8:BI8"/>
    <mergeCell ref="BR8:BT8"/>
    <mergeCell ref="BV8:BW8"/>
    <mergeCell ref="CZ142:DA142"/>
    <mergeCell ref="AV8:AW8"/>
    <mergeCell ref="BK8:BL8"/>
    <mergeCell ref="A68:L68"/>
    <mergeCell ref="A69:L69"/>
    <mergeCell ref="A64:L64"/>
    <mergeCell ref="A65:L65"/>
    <mergeCell ref="A66:L66"/>
    <mergeCell ref="A1:EC1"/>
    <mergeCell ref="DZ8:EC8"/>
    <mergeCell ref="CG142:CI142"/>
    <mergeCell ref="CK142:CM142"/>
    <mergeCell ref="AR78:AT78"/>
    <mergeCell ref="M78:O78"/>
    <mergeCell ref="Q78:S78"/>
    <mergeCell ref="U78:V78"/>
    <mergeCell ref="X78:Z78"/>
    <mergeCell ref="AB78:AD78"/>
    <mergeCell ref="AF78:AH78"/>
    <mergeCell ref="A51:L51"/>
    <mergeCell ref="A55:L55"/>
    <mergeCell ref="A56:L56"/>
    <mergeCell ref="CC78:CE78"/>
    <mergeCell ref="A57:L57"/>
    <mergeCell ref="A2:EC2"/>
    <mergeCell ref="A4:L4"/>
    <mergeCell ref="A52:L52"/>
    <mergeCell ref="CC142:CE142"/>
    <mergeCell ref="BC142:BE142"/>
    <mergeCell ref="BG142:BI142"/>
    <mergeCell ref="BK142:BL142"/>
    <mergeCell ref="BN142:BP142"/>
  </mergeCells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78"/>
  <sheetViews>
    <sheetView workbookViewId="0">
      <pane xSplit="1" ySplit="9" topLeftCell="B119" activePane="bottomRight" state="frozen"/>
      <selection pane="topRight" activeCell="B1" sqref="B1"/>
      <selection pane="bottomLeft" activeCell="A10" sqref="A10"/>
      <selection pane="bottomRight" activeCell="D126" sqref="C126:D126"/>
    </sheetView>
  </sheetViews>
  <sheetFormatPr baseColWidth="10" defaultColWidth="7.5" defaultRowHeight="13" outlineLevelRow="1" outlineLevelCol="1"/>
  <cols>
    <col min="1" max="1" width="20.6640625" bestFit="1" customWidth="1"/>
    <col min="2" max="11" width="13.6640625" bestFit="1" customWidth="1" outlineLevel="1"/>
    <col min="12" max="35" width="12.1640625" bestFit="1" customWidth="1" outlineLevel="1"/>
    <col min="36" max="39" width="12.6640625" bestFit="1" customWidth="1" outlineLevel="1"/>
    <col min="40" max="40" width="13.6640625" bestFit="1" customWidth="1"/>
    <col min="41" max="41" width="2.1640625" customWidth="1"/>
    <col min="42" max="42" width="6" bestFit="1" customWidth="1"/>
    <col min="43" max="43" width="12.6640625" bestFit="1" customWidth="1"/>
    <col min="44" max="44" width="11.6640625" bestFit="1" customWidth="1"/>
  </cols>
  <sheetData>
    <row r="1" spans="1:42">
      <c r="A1" s="10">
        <v>1</v>
      </c>
      <c r="B1" s="10">
        <f t="shared" ref="B1:C1" si="0">A1+1</f>
        <v>2</v>
      </c>
      <c r="C1" s="10">
        <f t="shared" si="0"/>
        <v>3</v>
      </c>
      <c r="D1" s="10">
        <f t="shared" ref="D1:D2" si="1">C1+1</f>
        <v>4</v>
      </c>
      <c r="E1" s="10">
        <f t="shared" ref="E1:E2" si="2">D1+1</f>
        <v>5</v>
      </c>
      <c r="F1" s="10">
        <f t="shared" ref="F1:F2" si="3">E1+1</f>
        <v>6</v>
      </c>
      <c r="G1" s="10">
        <f t="shared" ref="G1:G2" si="4">F1+1</f>
        <v>7</v>
      </c>
      <c r="H1" s="10">
        <f t="shared" ref="H1:H2" si="5">G1+1</f>
        <v>8</v>
      </c>
      <c r="I1" s="10">
        <f t="shared" ref="I1:I2" si="6">H1+1</f>
        <v>9</v>
      </c>
      <c r="J1" s="10">
        <f t="shared" ref="J1:J2" si="7">I1+1</f>
        <v>10</v>
      </c>
      <c r="K1" s="10">
        <f t="shared" ref="K1:K2" si="8">J1+1</f>
        <v>11</v>
      </c>
      <c r="L1" s="10">
        <f t="shared" ref="L1:L2" si="9">K1+1</f>
        <v>12</v>
      </c>
      <c r="M1" s="10">
        <f t="shared" ref="M1:M2" si="10">L1+1</f>
        <v>13</v>
      </c>
      <c r="N1" s="10">
        <f t="shared" ref="N1:N2" si="11">M1+1</f>
        <v>14</v>
      </c>
      <c r="O1" s="10">
        <f t="shared" ref="O1:O2" si="12">N1+1</f>
        <v>15</v>
      </c>
      <c r="P1" s="10">
        <f t="shared" ref="P1:P2" si="13">O1+1</f>
        <v>16</v>
      </c>
      <c r="Q1" s="10">
        <f t="shared" ref="Q1:Q2" si="14">P1+1</f>
        <v>17</v>
      </c>
      <c r="R1" s="10">
        <f t="shared" ref="R1:R2" si="15">Q1+1</f>
        <v>18</v>
      </c>
      <c r="S1" s="10">
        <f t="shared" ref="S1:S2" si="16">R1+1</f>
        <v>19</v>
      </c>
      <c r="T1" s="10">
        <f t="shared" ref="T1:T2" si="17">S1+1</f>
        <v>20</v>
      </c>
      <c r="U1" s="10">
        <f t="shared" ref="U1:U2" si="18">T1+1</f>
        <v>21</v>
      </c>
      <c r="V1" s="10">
        <f t="shared" ref="V1:V2" si="19">U1+1</f>
        <v>22</v>
      </c>
      <c r="W1" s="10">
        <f t="shared" ref="W1:W2" si="20">V1+1</f>
        <v>23</v>
      </c>
      <c r="X1" s="10">
        <f t="shared" ref="X1:X2" si="21">W1+1</f>
        <v>24</v>
      </c>
      <c r="Y1" s="10">
        <f t="shared" ref="Y1:Y2" si="22">X1+1</f>
        <v>25</v>
      </c>
      <c r="Z1" s="10">
        <f t="shared" ref="Z1:Z2" si="23">Y1+1</f>
        <v>26</v>
      </c>
      <c r="AA1" s="10">
        <f t="shared" ref="AA1:AA2" si="24">Z1+1</f>
        <v>27</v>
      </c>
      <c r="AB1" s="10">
        <f t="shared" ref="AB1:AB2" si="25">AA1+1</f>
        <v>28</v>
      </c>
      <c r="AC1" s="10">
        <f t="shared" ref="AC1:AC2" si="26">AB1+1</f>
        <v>29</v>
      </c>
      <c r="AD1" s="10">
        <f t="shared" ref="AD1:AD2" si="27">AC1+1</f>
        <v>30</v>
      </c>
      <c r="AE1" s="10">
        <f t="shared" ref="AE1:AE2" si="28">AD1+1</f>
        <v>31</v>
      </c>
      <c r="AF1" s="10">
        <f t="shared" ref="AF1:AF2" si="29">AE1+1</f>
        <v>32</v>
      </c>
      <c r="AG1" s="10">
        <f t="shared" ref="AG1:AG2" si="30">AF1+1</f>
        <v>33</v>
      </c>
      <c r="AH1" s="10">
        <f t="shared" ref="AH1:AH2" si="31">AG1+1</f>
        <v>34</v>
      </c>
      <c r="AI1" s="10">
        <f t="shared" ref="AI1:AI2" si="32">AH1+1</f>
        <v>35</v>
      </c>
      <c r="AJ1" s="10">
        <f t="shared" ref="AJ1:AJ2" si="33">AI1+1</f>
        <v>36</v>
      </c>
      <c r="AK1" s="10">
        <f t="shared" ref="AK1:AK2" si="34">AJ1+1</f>
        <v>37</v>
      </c>
      <c r="AL1" s="10">
        <f t="shared" ref="AL1:AL2" si="35">AK1+1</f>
        <v>38</v>
      </c>
      <c r="AM1" s="10">
        <f t="shared" ref="AM1:AM2" si="36">AL1+1</f>
        <v>39</v>
      </c>
    </row>
    <row r="2" spans="1:42" s="110" customFormat="1">
      <c r="B2" s="111">
        <f>C2-1</f>
        <v>2023</v>
      </c>
      <c r="C2" s="215">
        <f>Assumptions!A8</f>
        <v>2024</v>
      </c>
      <c r="D2" s="112">
        <f t="shared" si="1"/>
        <v>2025</v>
      </c>
      <c r="E2" s="112">
        <f t="shared" si="2"/>
        <v>2026</v>
      </c>
      <c r="F2" s="112">
        <f t="shared" si="3"/>
        <v>2027</v>
      </c>
      <c r="G2" s="112">
        <f t="shared" si="4"/>
        <v>2028</v>
      </c>
      <c r="H2" s="112">
        <f t="shared" si="5"/>
        <v>2029</v>
      </c>
      <c r="I2" s="112">
        <f t="shared" si="6"/>
        <v>2030</v>
      </c>
      <c r="J2" s="112">
        <f t="shared" si="7"/>
        <v>2031</v>
      </c>
      <c r="K2" s="112">
        <f t="shared" si="8"/>
        <v>2032</v>
      </c>
      <c r="L2" s="112">
        <f t="shared" si="9"/>
        <v>2033</v>
      </c>
      <c r="M2" s="112">
        <f t="shared" si="10"/>
        <v>2034</v>
      </c>
      <c r="N2" s="112">
        <f t="shared" si="11"/>
        <v>2035</v>
      </c>
      <c r="O2" s="112">
        <f t="shared" si="12"/>
        <v>2036</v>
      </c>
      <c r="P2" s="112">
        <f t="shared" si="13"/>
        <v>2037</v>
      </c>
      <c r="Q2" s="112">
        <f t="shared" si="14"/>
        <v>2038</v>
      </c>
      <c r="R2" s="112">
        <f t="shared" si="15"/>
        <v>2039</v>
      </c>
      <c r="S2" s="112">
        <f t="shared" si="16"/>
        <v>2040</v>
      </c>
      <c r="T2" s="112">
        <f t="shared" si="17"/>
        <v>2041</v>
      </c>
      <c r="U2" s="112">
        <f t="shared" si="18"/>
        <v>2042</v>
      </c>
      <c r="V2" s="112">
        <f t="shared" si="19"/>
        <v>2043</v>
      </c>
      <c r="W2" s="112">
        <f t="shared" si="20"/>
        <v>2044</v>
      </c>
      <c r="X2" s="112">
        <f t="shared" si="21"/>
        <v>2045</v>
      </c>
      <c r="Y2" s="112">
        <f t="shared" si="22"/>
        <v>2046</v>
      </c>
      <c r="Z2" s="112">
        <f t="shared" si="23"/>
        <v>2047</v>
      </c>
      <c r="AA2" s="112">
        <f t="shared" si="24"/>
        <v>2048</v>
      </c>
      <c r="AB2" s="112">
        <f t="shared" si="25"/>
        <v>2049</v>
      </c>
      <c r="AC2" s="112">
        <f t="shared" si="26"/>
        <v>2050</v>
      </c>
      <c r="AD2" s="112">
        <f t="shared" si="27"/>
        <v>2051</v>
      </c>
      <c r="AE2" s="112">
        <f t="shared" si="28"/>
        <v>2052</v>
      </c>
      <c r="AF2" s="112">
        <f t="shared" si="29"/>
        <v>2053</v>
      </c>
      <c r="AG2" s="112">
        <f t="shared" si="30"/>
        <v>2054</v>
      </c>
      <c r="AH2" s="112">
        <f t="shared" si="31"/>
        <v>2055</v>
      </c>
      <c r="AI2" s="112">
        <f t="shared" si="32"/>
        <v>2056</v>
      </c>
      <c r="AJ2" s="112">
        <f t="shared" si="33"/>
        <v>2057</v>
      </c>
      <c r="AK2" s="112">
        <f t="shared" si="34"/>
        <v>2058</v>
      </c>
      <c r="AL2" s="112">
        <f t="shared" si="35"/>
        <v>2059</v>
      </c>
      <c r="AM2" s="112">
        <f t="shared" si="36"/>
        <v>2060</v>
      </c>
    </row>
    <row r="4" spans="1:42">
      <c r="A4" s="40" t="s">
        <v>95</v>
      </c>
      <c r="B4" s="41" t="s">
        <v>8</v>
      </c>
      <c r="C4" s="41" t="s">
        <v>8</v>
      </c>
      <c r="D4" s="41" t="s">
        <v>8</v>
      </c>
      <c r="E4" s="41" t="s">
        <v>8</v>
      </c>
      <c r="F4" s="41" t="s">
        <v>8</v>
      </c>
      <c r="G4" s="41" t="s">
        <v>8</v>
      </c>
      <c r="H4" s="41" t="s">
        <v>8</v>
      </c>
      <c r="I4" s="41" t="s">
        <v>8</v>
      </c>
      <c r="J4" s="41" t="s">
        <v>8</v>
      </c>
      <c r="K4" s="41" t="s">
        <v>8</v>
      </c>
      <c r="L4" s="41" t="s">
        <v>8</v>
      </c>
      <c r="M4" s="41" t="s">
        <v>8</v>
      </c>
      <c r="N4" s="41" t="s">
        <v>8</v>
      </c>
      <c r="O4" s="41" t="s">
        <v>8</v>
      </c>
      <c r="P4" s="41" t="s">
        <v>8</v>
      </c>
      <c r="Q4" s="41" t="s">
        <v>8</v>
      </c>
      <c r="R4" s="41" t="s">
        <v>8</v>
      </c>
      <c r="S4" s="41" t="s">
        <v>8</v>
      </c>
      <c r="T4" s="41" t="s">
        <v>8</v>
      </c>
      <c r="U4" s="41" t="s">
        <v>8</v>
      </c>
      <c r="V4" s="41" t="s">
        <v>8</v>
      </c>
      <c r="W4" s="41" t="s">
        <v>8</v>
      </c>
      <c r="X4" s="41" t="s">
        <v>8</v>
      </c>
      <c r="Y4" s="41" t="s">
        <v>8</v>
      </c>
      <c r="Z4" s="41" t="s">
        <v>8</v>
      </c>
      <c r="AA4" s="41" t="s">
        <v>8</v>
      </c>
      <c r="AB4" s="41" t="s">
        <v>8</v>
      </c>
      <c r="AC4" s="41" t="s">
        <v>8</v>
      </c>
      <c r="AD4" s="41" t="s">
        <v>8</v>
      </c>
      <c r="AE4" s="41" t="s">
        <v>8</v>
      </c>
      <c r="AF4" s="41" t="s">
        <v>8</v>
      </c>
      <c r="AG4" s="41" t="s">
        <v>8</v>
      </c>
      <c r="AH4" s="41" t="s">
        <v>8</v>
      </c>
      <c r="AI4" s="41" t="s">
        <v>8</v>
      </c>
      <c r="AJ4" s="41" t="s">
        <v>8</v>
      </c>
      <c r="AK4" s="41" t="s">
        <v>8</v>
      </c>
      <c r="AL4" s="41" t="s">
        <v>8</v>
      </c>
      <c r="AM4" s="41" t="s">
        <v>8</v>
      </c>
    </row>
    <row r="5" spans="1:42">
      <c r="A5" s="83">
        <f>'Debt Service'!A72</f>
        <v>2057</v>
      </c>
      <c r="B5" s="41" t="s">
        <v>20</v>
      </c>
      <c r="C5" s="41" t="s">
        <v>20</v>
      </c>
      <c r="D5" s="41" t="s">
        <v>20</v>
      </c>
      <c r="E5" s="41" t="s">
        <v>20</v>
      </c>
      <c r="F5" s="41" t="s">
        <v>20</v>
      </c>
      <c r="G5" s="41" t="s">
        <v>20</v>
      </c>
      <c r="H5" s="41" t="s">
        <v>20</v>
      </c>
      <c r="I5" s="41" t="s">
        <v>20</v>
      </c>
      <c r="J5" s="41" t="s">
        <v>20</v>
      </c>
      <c r="K5" s="41" t="s">
        <v>20</v>
      </c>
      <c r="L5" s="41" t="s">
        <v>20</v>
      </c>
      <c r="M5" s="41" t="s">
        <v>20</v>
      </c>
      <c r="N5" s="41" t="s">
        <v>20</v>
      </c>
      <c r="O5" s="41" t="s">
        <v>20</v>
      </c>
      <c r="P5" s="41" t="s">
        <v>20</v>
      </c>
      <c r="Q5" s="41" t="s">
        <v>20</v>
      </c>
      <c r="R5" s="41" t="s">
        <v>20</v>
      </c>
      <c r="S5" s="41" t="s">
        <v>20</v>
      </c>
      <c r="T5" s="41" t="s">
        <v>20</v>
      </c>
      <c r="U5" s="41" t="s">
        <v>20</v>
      </c>
      <c r="V5" s="41" t="s">
        <v>20</v>
      </c>
      <c r="W5" s="41" t="s">
        <v>20</v>
      </c>
      <c r="X5" s="41" t="s">
        <v>20</v>
      </c>
      <c r="Y5" s="41" t="s">
        <v>20</v>
      </c>
      <c r="Z5" s="41" t="s">
        <v>20</v>
      </c>
      <c r="AA5" s="41" t="s">
        <v>20</v>
      </c>
      <c r="AB5" s="41" t="s">
        <v>20</v>
      </c>
      <c r="AC5" s="41" t="s">
        <v>20</v>
      </c>
      <c r="AD5" s="41" t="s">
        <v>20</v>
      </c>
      <c r="AE5" s="41" t="s">
        <v>20</v>
      </c>
      <c r="AF5" s="41" t="s">
        <v>20</v>
      </c>
      <c r="AG5" s="41" t="s">
        <v>20</v>
      </c>
      <c r="AH5" s="41" t="s">
        <v>20</v>
      </c>
      <c r="AI5" s="41" t="s">
        <v>20</v>
      </c>
      <c r="AJ5" s="41" t="s">
        <v>20</v>
      </c>
      <c r="AK5" s="41" t="s">
        <v>20</v>
      </c>
      <c r="AL5" s="41" t="s">
        <v>20</v>
      </c>
      <c r="AM5" s="41" t="s">
        <v>20</v>
      </c>
      <c r="AN5" s="1"/>
      <c r="AO5" s="1"/>
    </row>
    <row r="6" spans="1:42">
      <c r="A6" s="42"/>
      <c r="B6" s="41" t="s">
        <v>27</v>
      </c>
      <c r="C6" s="41" t="s">
        <v>27</v>
      </c>
      <c r="D6" s="41" t="s">
        <v>27</v>
      </c>
      <c r="E6" s="41" t="s">
        <v>27</v>
      </c>
      <c r="F6" s="41" t="s">
        <v>27</v>
      </c>
      <c r="G6" s="41" t="s">
        <v>27</v>
      </c>
      <c r="H6" s="41" t="s">
        <v>27</v>
      </c>
      <c r="I6" s="41" t="s">
        <v>27</v>
      </c>
      <c r="J6" s="41" t="s">
        <v>27</v>
      </c>
      <c r="K6" s="41" t="s">
        <v>27</v>
      </c>
      <c r="L6" s="41" t="s">
        <v>27</v>
      </c>
      <c r="M6" s="41" t="s">
        <v>27</v>
      </c>
      <c r="N6" s="41" t="s">
        <v>27</v>
      </c>
      <c r="O6" s="41" t="s">
        <v>27</v>
      </c>
      <c r="P6" s="41" t="s">
        <v>27</v>
      </c>
      <c r="Q6" s="41" t="s">
        <v>27</v>
      </c>
      <c r="R6" s="41" t="s">
        <v>27</v>
      </c>
      <c r="S6" s="41" t="s">
        <v>27</v>
      </c>
      <c r="T6" s="41" t="s">
        <v>27</v>
      </c>
      <c r="U6" s="41" t="s">
        <v>27</v>
      </c>
      <c r="V6" s="41" t="s">
        <v>27</v>
      </c>
      <c r="W6" s="41" t="s">
        <v>27</v>
      </c>
      <c r="X6" s="41" t="s">
        <v>27</v>
      </c>
      <c r="Y6" s="41" t="s">
        <v>27</v>
      </c>
      <c r="Z6" s="41" t="s">
        <v>27</v>
      </c>
      <c r="AA6" s="41" t="s">
        <v>27</v>
      </c>
      <c r="AB6" s="41" t="s">
        <v>27</v>
      </c>
      <c r="AC6" s="41" t="s">
        <v>27</v>
      </c>
      <c r="AD6" s="41" t="s">
        <v>27</v>
      </c>
      <c r="AE6" s="41" t="s">
        <v>27</v>
      </c>
      <c r="AF6" s="41" t="s">
        <v>27</v>
      </c>
      <c r="AG6" s="41" t="s">
        <v>27</v>
      </c>
      <c r="AH6" s="41" t="s">
        <v>27</v>
      </c>
      <c r="AI6" s="41" t="s">
        <v>27</v>
      </c>
      <c r="AJ6" s="41" t="s">
        <v>27</v>
      </c>
      <c r="AK6" s="41" t="s">
        <v>27</v>
      </c>
      <c r="AL6" s="41" t="s">
        <v>27</v>
      </c>
      <c r="AM6" s="41" t="s">
        <v>27</v>
      </c>
      <c r="AN6" s="1"/>
      <c r="AO6" s="1"/>
    </row>
    <row r="7" spans="1:42">
      <c r="A7" s="43"/>
      <c r="B7" s="41" t="s">
        <v>21</v>
      </c>
      <c r="C7" s="41" t="s">
        <v>21</v>
      </c>
      <c r="D7" s="41" t="s">
        <v>21</v>
      </c>
      <c r="E7" s="41" t="s">
        <v>21</v>
      </c>
      <c r="F7" s="41" t="s">
        <v>21</v>
      </c>
      <c r="G7" s="41" t="s">
        <v>21</v>
      </c>
      <c r="H7" s="41" t="s">
        <v>21</v>
      </c>
      <c r="I7" s="41" t="s">
        <v>21</v>
      </c>
      <c r="J7" s="41" t="s">
        <v>21</v>
      </c>
      <c r="K7" s="41" t="s">
        <v>21</v>
      </c>
      <c r="L7" s="41" t="s">
        <v>21</v>
      </c>
      <c r="M7" s="41" t="s">
        <v>21</v>
      </c>
      <c r="N7" s="41" t="s">
        <v>21</v>
      </c>
      <c r="O7" s="41" t="s">
        <v>21</v>
      </c>
      <c r="P7" s="41" t="s">
        <v>21</v>
      </c>
      <c r="Q7" s="41" t="s">
        <v>21</v>
      </c>
      <c r="R7" s="41" t="s">
        <v>21</v>
      </c>
      <c r="S7" s="41" t="s">
        <v>21</v>
      </c>
      <c r="T7" s="41" t="s">
        <v>21</v>
      </c>
      <c r="U7" s="41" t="s">
        <v>21</v>
      </c>
      <c r="V7" s="41" t="s">
        <v>21</v>
      </c>
      <c r="W7" s="41" t="s">
        <v>21</v>
      </c>
      <c r="X7" s="41" t="s">
        <v>21</v>
      </c>
      <c r="Y7" s="41" t="s">
        <v>21</v>
      </c>
      <c r="Z7" s="41" t="s">
        <v>21</v>
      </c>
      <c r="AA7" s="41" t="s">
        <v>21</v>
      </c>
      <c r="AB7" s="41" t="s">
        <v>21</v>
      </c>
      <c r="AC7" s="41" t="s">
        <v>21</v>
      </c>
      <c r="AD7" s="41" t="s">
        <v>21</v>
      </c>
      <c r="AE7" s="41" t="s">
        <v>21</v>
      </c>
      <c r="AF7" s="41" t="s">
        <v>21</v>
      </c>
      <c r="AG7" s="41" t="s">
        <v>21</v>
      </c>
      <c r="AH7" s="41" t="s">
        <v>21</v>
      </c>
      <c r="AI7" s="41" t="s">
        <v>21</v>
      </c>
      <c r="AJ7" s="41" t="s">
        <v>21</v>
      </c>
      <c r="AK7" s="41" t="s">
        <v>21</v>
      </c>
      <c r="AL7" s="41" t="s">
        <v>21</v>
      </c>
      <c r="AM7" s="41" t="s">
        <v>21</v>
      </c>
      <c r="AN7" s="1"/>
      <c r="AO7" s="1"/>
    </row>
    <row r="8" spans="1:42">
      <c r="A8" s="44" t="s">
        <v>4</v>
      </c>
      <c r="B8" s="45">
        <f>B2</f>
        <v>2023</v>
      </c>
      <c r="C8" s="45">
        <f>C2</f>
        <v>2024</v>
      </c>
      <c r="D8" s="45">
        <f t="shared" ref="D8:AM8" si="37">D2</f>
        <v>2025</v>
      </c>
      <c r="E8" s="45">
        <f t="shared" si="37"/>
        <v>2026</v>
      </c>
      <c r="F8" s="45">
        <f t="shared" si="37"/>
        <v>2027</v>
      </c>
      <c r="G8" s="45">
        <f t="shared" si="37"/>
        <v>2028</v>
      </c>
      <c r="H8" s="45">
        <f t="shared" si="37"/>
        <v>2029</v>
      </c>
      <c r="I8" s="45">
        <f t="shared" si="37"/>
        <v>2030</v>
      </c>
      <c r="J8" s="45">
        <f t="shared" si="37"/>
        <v>2031</v>
      </c>
      <c r="K8" s="45">
        <f t="shared" si="37"/>
        <v>2032</v>
      </c>
      <c r="L8" s="45">
        <f t="shared" si="37"/>
        <v>2033</v>
      </c>
      <c r="M8" s="45">
        <f t="shared" si="37"/>
        <v>2034</v>
      </c>
      <c r="N8" s="45">
        <f t="shared" si="37"/>
        <v>2035</v>
      </c>
      <c r="O8" s="45">
        <f t="shared" si="37"/>
        <v>2036</v>
      </c>
      <c r="P8" s="45">
        <f t="shared" si="37"/>
        <v>2037</v>
      </c>
      <c r="Q8" s="45">
        <f t="shared" si="37"/>
        <v>2038</v>
      </c>
      <c r="R8" s="45">
        <f t="shared" si="37"/>
        <v>2039</v>
      </c>
      <c r="S8" s="45">
        <f t="shared" si="37"/>
        <v>2040</v>
      </c>
      <c r="T8" s="45">
        <f t="shared" si="37"/>
        <v>2041</v>
      </c>
      <c r="U8" s="45">
        <f t="shared" si="37"/>
        <v>2042</v>
      </c>
      <c r="V8" s="45">
        <f t="shared" si="37"/>
        <v>2043</v>
      </c>
      <c r="W8" s="45">
        <f t="shared" si="37"/>
        <v>2044</v>
      </c>
      <c r="X8" s="45">
        <f t="shared" si="37"/>
        <v>2045</v>
      </c>
      <c r="Y8" s="45">
        <f t="shared" si="37"/>
        <v>2046</v>
      </c>
      <c r="Z8" s="45">
        <f t="shared" si="37"/>
        <v>2047</v>
      </c>
      <c r="AA8" s="45">
        <f t="shared" si="37"/>
        <v>2048</v>
      </c>
      <c r="AB8" s="45">
        <f t="shared" si="37"/>
        <v>2049</v>
      </c>
      <c r="AC8" s="45">
        <f t="shared" si="37"/>
        <v>2050</v>
      </c>
      <c r="AD8" s="45">
        <f t="shared" si="37"/>
        <v>2051</v>
      </c>
      <c r="AE8" s="45">
        <f t="shared" si="37"/>
        <v>2052</v>
      </c>
      <c r="AF8" s="45">
        <f t="shared" si="37"/>
        <v>2053</v>
      </c>
      <c r="AG8" s="45">
        <f t="shared" si="37"/>
        <v>2054</v>
      </c>
      <c r="AH8" s="45">
        <f t="shared" si="37"/>
        <v>2055</v>
      </c>
      <c r="AI8" s="45">
        <f t="shared" si="37"/>
        <v>2056</v>
      </c>
      <c r="AJ8" s="45">
        <f t="shared" si="37"/>
        <v>2057</v>
      </c>
      <c r="AK8" s="45">
        <f t="shared" si="37"/>
        <v>2058</v>
      </c>
      <c r="AL8" s="45">
        <f t="shared" si="37"/>
        <v>2059</v>
      </c>
      <c r="AM8" s="45">
        <f t="shared" si="37"/>
        <v>2060</v>
      </c>
      <c r="AN8" s="12"/>
      <c r="AO8" s="12"/>
      <c r="AP8" s="10">
        <v>1</v>
      </c>
    </row>
    <row r="9" spans="1:42">
      <c r="A9" s="42"/>
      <c r="AN9" s="29"/>
      <c r="AO9" s="29"/>
      <c r="AP9" s="10">
        <f>AP8+1</f>
        <v>2</v>
      </c>
    </row>
    <row r="10" spans="1:42">
      <c r="A10" s="83">
        <f>B2</f>
        <v>2023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29"/>
      <c r="AO10" s="29"/>
      <c r="AP10" s="10">
        <f t="shared" ref="AP10:AP11" si="38">AP9+1</f>
        <v>3</v>
      </c>
    </row>
    <row r="11" spans="1:42">
      <c r="A11" s="40">
        <f t="shared" ref="A11:A47" si="39">A10+1</f>
        <v>2024</v>
      </c>
      <c r="B11" s="52">
        <v>96238700</v>
      </c>
      <c r="C11" s="15">
        <f t="shared" ref="C11:AM11" si="40">IF($A11&gt;C$8, B11+C131, 0)</f>
        <v>0</v>
      </c>
      <c r="D11" s="15">
        <f t="shared" si="40"/>
        <v>0</v>
      </c>
      <c r="E11" s="15">
        <f t="shared" si="40"/>
        <v>0</v>
      </c>
      <c r="F11" s="15">
        <f t="shared" si="40"/>
        <v>0</v>
      </c>
      <c r="G11" s="15">
        <f t="shared" si="40"/>
        <v>0</v>
      </c>
      <c r="H11" s="15">
        <f t="shared" si="40"/>
        <v>0</v>
      </c>
      <c r="I11" s="15">
        <f t="shared" si="40"/>
        <v>0</v>
      </c>
      <c r="J11" s="15">
        <f t="shared" si="40"/>
        <v>0</v>
      </c>
      <c r="K11" s="15">
        <f t="shared" si="40"/>
        <v>0</v>
      </c>
      <c r="L11" s="15">
        <f t="shared" si="40"/>
        <v>0</v>
      </c>
      <c r="M11" s="15">
        <f t="shared" si="40"/>
        <v>0</v>
      </c>
      <c r="N11" s="15">
        <f t="shared" si="40"/>
        <v>0</v>
      </c>
      <c r="O11" s="15">
        <f t="shared" si="40"/>
        <v>0</v>
      </c>
      <c r="P11" s="15">
        <f t="shared" si="40"/>
        <v>0</v>
      </c>
      <c r="Q11" s="15">
        <f t="shared" si="40"/>
        <v>0</v>
      </c>
      <c r="R11" s="15">
        <f t="shared" si="40"/>
        <v>0</v>
      </c>
      <c r="S11" s="15">
        <f t="shared" si="40"/>
        <v>0</v>
      </c>
      <c r="T11" s="15">
        <f t="shared" si="40"/>
        <v>0</v>
      </c>
      <c r="U11" s="15">
        <f t="shared" si="40"/>
        <v>0</v>
      </c>
      <c r="V11" s="15">
        <f t="shared" si="40"/>
        <v>0</v>
      </c>
      <c r="W11" s="15">
        <f t="shared" si="40"/>
        <v>0</v>
      </c>
      <c r="X11" s="15">
        <f t="shared" si="40"/>
        <v>0</v>
      </c>
      <c r="Y11" s="15">
        <f t="shared" si="40"/>
        <v>0</v>
      </c>
      <c r="Z11" s="15">
        <f t="shared" si="40"/>
        <v>0</v>
      </c>
      <c r="AA11" s="15">
        <f t="shared" si="40"/>
        <v>0</v>
      </c>
      <c r="AB11" s="15">
        <f t="shared" si="40"/>
        <v>0</v>
      </c>
      <c r="AC11" s="15">
        <f t="shared" si="40"/>
        <v>0</v>
      </c>
      <c r="AD11" s="15">
        <f t="shared" si="40"/>
        <v>0</v>
      </c>
      <c r="AE11" s="15">
        <f t="shared" si="40"/>
        <v>0</v>
      </c>
      <c r="AF11" s="15">
        <f t="shared" si="40"/>
        <v>0</v>
      </c>
      <c r="AG11" s="15">
        <f t="shared" si="40"/>
        <v>0</v>
      </c>
      <c r="AH11" s="15">
        <f t="shared" si="40"/>
        <v>0</v>
      </c>
      <c r="AI11" s="15">
        <f t="shared" si="40"/>
        <v>0</v>
      </c>
      <c r="AJ11" s="15">
        <f t="shared" si="40"/>
        <v>0</v>
      </c>
      <c r="AK11" s="15">
        <f t="shared" si="40"/>
        <v>0</v>
      </c>
      <c r="AL11" s="15">
        <f t="shared" si="40"/>
        <v>0</v>
      </c>
      <c r="AM11" s="15">
        <f t="shared" si="40"/>
        <v>0</v>
      </c>
      <c r="AN11" s="29"/>
      <c r="AO11" s="29"/>
      <c r="AP11" s="10">
        <f t="shared" si="38"/>
        <v>4</v>
      </c>
    </row>
    <row r="12" spans="1:42">
      <c r="A12" s="40">
        <f t="shared" si="39"/>
        <v>2025</v>
      </c>
      <c r="B12" s="52">
        <v>95896900</v>
      </c>
      <c r="C12" s="15">
        <f t="shared" ref="C12:AM12" si="41">IF($A12&gt;C$8, B12+C132, 0)</f>
        <v>98190900</v>
      </c>
      <c r="D12" s="15">
        <f t="shared" si="41"/>
        <v>0</v>
      </c>
      <c r="E12" s="15">
        <f t="shared" si="41"/>
        <v>0</v>
      </c>
      <c r="F12" s="15">
        <f t="shared" si="41"/>
        <v>0</v>
      </c>
      <c r="G12" s="15">
        <f t="shared" si="41"/>
        <v>0</v>
      </c>
      <c r="H12" s="15">
        <f t="shared" si="41"/>
        <v>0</v>
      </c>
      <c r="I12" s="15">
        <f t="shared" si="41"/>
        <v>0</v>
      </c>
      <c r="J12" s="15">
        <f t="shared" si="41"/>
        <v>0</v>
      </c>
      <c r="K12" s="15">
        <f t="shared" si="41"/>
        <v>0</v>
      </c>
      <c r="L12" s="15">
        <f t="shared" si="41"/>
        <v>0</v>
      </c>
      <c r="M12" s="15">
        <f t="shared" si="41"/>
        <v>0</v>
      </c>
      <c r="N12" s="15">
        <f t="shared" si="41"/>
        <v>0</v>
      </c>
      <c r="O12" s="15">
        <f t="shared" si="41"/>
        <v>0</v>
      </c>
      <c r="P12" s="15">
        <f t="shared" si="41"/>
        <v>0</v>
      </c>
      <c r="Q12" s="15">
        <f t="shared" si="41"/>
        <v>0</v>
      </c>
      <c r="R12" s="15">
        <f t="shared" si="41"/>
        <v>0</v>
      </c>
      <c r="S12" s="15">
        <f t="shared" si="41"/>
        <v>0</v>
      </c>
      <c r="T12" s="15">
        <f t="shared" si="41"/>
        <v>0</v>
      </c>
      <c r="U12" s="15">
        <f t="shared" si="41"/>
        <v>0</v>
      </c>
      <c r="V12" s="15">
        <f t="shared" si="41"/>
        <v>0</v>
      </c>
      <c r="W12" s="15">
        <f t="shared" si="41"/>
        <v>0</v>
      </c>
      <c r="X12" s="15">
        <f t="shared" si="41"/>
        <v>0</v>
      </c>
      <c r="Y12" s="15">
        <f t="shared" si="41"/>
        <v>0</v>
      </c>
      <c r="Z12" s="15">
        <f t="shared" si="41"/>
        <v>0</v>
      </c>
      <c r="AA12" s="15">
        <f t="shared" si="41"/>
        <v>0</v>
      </c>
      <c r="AB12" s="15">
        <f t="shared" si="41"/>
        <v>0</v>
      </c>
      <c r="AC12" s="15">
        <f t="shared" si="41"/>
        <v>0</v>
      </c>
      <c r="AD12" s="15">
        <f t="shared" si="41"/>
        <v>0</v>
      </c>
      <c r="AE12" s="15">
        <f t="shared" si="41"/>
        <v>0</v>
      </c>
      <c r="AF12" s="15">
        <f t="shared" si="41"/>
        <v>0</v>
      </c>
      <c r="AG12" s="15">
        <f t="shared" si="41"/>
        <v>0</v>
      </c>
      <c r="AH12" s="15">
        <f t="shared" si="41"/>
        <v>0</v>
      </c>
      <c r="AI12" s="15">
        <f t="shared" si="41"/>
        <v>0</v>
      </c>
      <c r="AJ12" s="15">
        <f t="shared" si="41"/>
        <v>0</v>
      </c>
      <c r="AK12" s="15">
        <f t="shared" si="41"/>
        <v>0</v>
      </c>
      <c r="AL12" s="15">
        <f t="shared" si="41"/>
        <v>0</v>
      </c>
      <c r="AM12" s="15">
        <f t="shared" si="41"/>
        <v>0</v>
      </c>
      <c r="AN12" s="29"/>
      <c r="AO12" s="29"/>
      <c r="AP12" s="10">
        <f t="shared" ref="AP12:AP53" si="42">AP11+1</f>
        <v>5</v>
      </c>
    </row>
    <row r="13" spans="1:42">
      <c r="A13" s="40">
        <f t="shared" si="39"/>
        <v>2026</v>
      </c>
      <c r="B13" s="52">
        <v>86223100</v>
      </c>
      <c r="C13" s="15">
        <f t="shared" ref="C13:AM13" si="43">IF($A13&gt;C$8, B13+C133, 0)</f>
        <v>88644100</v>
      </c>
      <c r="D13" s="15">
        <f t="shared" si="43"/>
        <v>90938100</v>
      </c>
      <c r="E13" s="15">
        <f t="shared" si="43"/>
        <v>0</v>
      </c>
      <c r="F13" s="15">
        <f t="shared" si="43"/>
        <v>0</v>
      </c>
      <c r="G13" s="15">
        <f t="shared" si="43"/>
        <v>0</v>
      </c>
      <c r="H13" s="15">
        <f t="shared" si="43"/>
        <v>0</v>
      </c>
      <c r="I13" s="15">
        <f t="shared" si="43"/>
        <v>0</v>
      </c>
      <c r="J13" s="15">
        <f t="shared" si="43"/>
        <v>0</v>
      </c>
      <c r="K13" s="15">
        <f t="shared" si="43"/>
        <v>0</v>
      </c>
      <c r="L13" s="15">
        <f t="shared" si="43"/>
        <v>0</v>
      </c>
      <c r="M13" s="15">
        <f t="shared" si="43"/>
        <v>0</v>
      </c>
      <c r="N13" s="15">
        <f t="shared" si="43"/>
        <v>0</v>
      </c>
      <c r="O13" s="15">
        <f t="shared" si="43"/>
        <v>0</v>
      </c>
      <c r="P13" s="15">
        <f t="shared" si="43"/>
        <v>0</v>
      </c>
      <c r="Q13" s="15">
        <f t="shared" si="43"/>
        <v>0</v>
      </c>
      <c r="R13" s="15">
        <f t="shared" si="43"/>
        <v>0</v>
      </c>
      <c r="S13" s="15">
        <f t="shared" si="43"/>
        <v>0</v>
      </c>
      <c r="T13" s="15">
        <f t="shared" si="43"/>
        <v>0</v>
      </c>
      <c r="U13" s="15">
        <f t="shared" si="43"/>
        <v>0</v>
      </c>
      <c r="V13" s="15">
        <f t="shared" si="43"/>
        <v>0</v>
      </c>
      <c r="W13" s="15">
        <f t="shared" si="43"/>
        <v>0</v>
      </c>
      <c r="X13" s="15">
        <f t="shared" si="43"/>
        <v>0</v>
      </c>
      <c r="Y13" s="15">
        <f t="shared" si="43"/>
        <v>0</v>
      </c>
      <c r="Z13" s="15">
        <f t="shared" si="43"/>
        <v>0</v>
      </c>
      <c r="AA13" s="15">
        <f t="shared" si="43"/>
        <v>0</v>
      </c>
      <c r="AB13" s="15">
        <f t="shared" si="43"/>
        <v>0</v>
      </c>
      <c r="AC13" s="15">
        <f t="shared" si="43"/>
        <v>0</v>
      </c>
      <c r="AD13" s="15">
        <f t="shared" si="43"/>
        <v>0</v>
      </c>
      <c r="AE13" s="15">
        <f t="shared" si="43"/>
        <v>0</v>
      </c>
      <c r="AF13" s="15">
        <f t="shared" si="43"/>
        <v>0</v>
      </c>
      <c r="AG13" s="15">
        <f t="shared" si="43"/>
        <v>0</v>
      </c>
      <c r="AH13" s="15">
        <f t="shared" si="43"/>
        <v>0</v>
      </c>
      <c r="AI13" s="15">
        <f t="shared" si="43"/>
        <v>0</v>
      </c>
      <c r="AJ13" s="15">
        <f t="shared" si="43"/>
        <v>0</v>
      </c>
      <c r="AK13" s="15">
        <f t="shared" si="43"/>
        <v>0</v>
      </c>
      <c r="AL13" s="15">
        <f t="shared" si="43"/>
        <v>0</v>
      </c>
      <c r="AM13" s="15">
        <f t="shared" si="43"/>
        <v>0</v>
      </c>
      <c r="AN13" s="29"/>
      <c r="AO13" s="29"/>
      <c r="AP13" s="10">
        <f t="shared" si="42"/>
        <v>6</v>
      </c>
    </row>
    <row r="14" spans="1:42">
      <c r="A14" s="40">
        <f t="shared" si="39"/>
        <v>2027</v>
      </c>
      <c r="B14" s="52">
        <v>83502300</v>
      </c>
      <c r="C14" s="15">
        <f t="shared" ref="C14:AM14" si="44">IF($A14&gt;C$8, B14+C134, 0)</f>
        <v>86056300</v>
      </c>
      <c r="D14" s="15">
        <f t="shared" si="44"/>
        <v>88477300</v>
      </c>
      <c r="E14" s="15">
        <f t="shared" si="44"/>
        <v>90771300</v>
      </c>
      <c r="F14" s="15">
        <f t="shared" si="44"/>
        <v>0</v>
      </c>
      <c r="G14" s="15">
        <f t="shared" si="44"/>
        <v>0</v>
      </c>
      <c r="H14" s="15">
        <f t="shared" si="44"/>
        <v>0</v>
      </c>
      <c r="I14" s="15">
        <f t="shared" si="44"/>
        <v>0</v>
      </c>
      <c r="J14" s="15">
        <f t="shared" si="44"/>
        <v>0</v>
      </c>
      <c r="K14" s="15">
        <f t="shared" si="44"/>
        <v>0</v>
      </c>
      <c r="L14" s="15">
        <f t="shared" si="44"/>
        <v>0</v>
      </c>
      <c r="M14" s="15">
        <f t="shared" si="44"/>
        <v>0</v>
      </c>
      <c r="N14" s="15">
        <f t="shared" si="44"/>
        <v>0</v>
      </c>
      <c r="O14" s="15">
        <f t="shared" si="44"/>
        <v>0</v>
      </c>
      <c r="P14" s="15">
        <f t="shared" si="44"/>
        <v>0</v>
      </c>
      <c r="Q14" s="15">
        <f t="shared" si="44"/>
        <v>0</v>
      </c>
      <c r="R14" s="15">
        <f t="shared" si="44"/>
        <v>0</v>
      </c>
      <c r="S14" s="15">
        <f t="shared" si="44"/>
        <v>0</v>
      </c>
      <c r="T14" s="15">
        <f t="shared" si="44"/>
        <v>0</v>
      </c>
      <c r="U14" s="15">
        <f t="shared" si="44"/>
        <v>0</v>
      </c>
      <c r="V14" s="15">
        <f t="shared" si="44"/>
        <v>0</v>
      </c>
      <c r="W14" s="15">
        <f t="shared" si="44"/>
        <v>0</v>
      </c>
      <c r="X14" s="15">
        <f t="shared" si="44"/>
        <v>0</v>
      </c>
      <c r="Y14" s="15">
        <f t="shared" si="44"/>
        <v>0</v>
      </c>
      <c r="Z14" s="15">
        <f t="shared" si="44"/>
        <v>0</v>
      </c>
      <c r="AA14" s="15">
        <f t="shared" si="44"/>
        <v>0</v>
      </c>
      <c r="AB14" s="15">
        <f t="shared" si="44"/>
        <v>0</v>
      </c>
      <c r="AC14" s="15">
        <f t="shared" si="44"/>
        <v>0</v>
      </c>
      <c r="AD14" s="15">
        <f t="shared" si="44"/>
        <v>0</v>
      </c>
      <c r="AE14" s="15">
        <f t="shared" si="44"/>
        <v>0</v>
      </c>
      <c r="AF14" s="15">
        <f t="shared" si="44"/>
        <v>0</v>
      </c>
      <c r="AG14" s="15">
        <f t="shared" si="44"/>
        <v>0</v>
      </c>
      <c r="AH14" s="15">
        <f t="shared" si="44"/>
        <v>0</v>
      </c>
      <c r="AI14" s="15">
        <f t="shared" si="44"/>
        <v>0</v>
      </c>
      <c r="AJ14" s="15">
        <f t="shared" si="44"/>
        <v>0</v>
      </c>
      <c r="AK14" s="15">
        <f t="shared" si="44"/>
        <v>0</v>
      </c>
      <c r="AL14" s="15">
        <f t="shared" si="44"/>
        <v>0</v>
      </c>
      <c r="AM14" s="15">
        <f t="shared" si="44"/>
        <v>0</v>
      </c>
      <c r="AN14" s="29"/>
      <c r="AO14" s="29"/>
      <c r="AP14" s="10">
        <f t="shared" si="42"/>
        <v>7</v>
      </c>
    </row>
    <row r="15" spans="1:42">
      <c r="A15" s="40">
        <f t="shared" si="39"/>
        <v>2028</v>
      </c>
      <c r="B15" s="52">
        <v>75702600</v>
      </c>
      <c r="C15" s="15">
        <f t="shared" ref="C15:AM15" si="45">IF($A15&gt;C$8, B15+C135, 0)</f>
        <v>78396600</v>
      </c>
      <c r="D15" s="15">
        <f t="shared" si="45"/>
        <v>80950600</v>
      </c>
      <c r="E15" s="15">
        <f t="shared" si="45"/>
        <v>83371600</v>
      </c>
      <c r="F15" s="15">
        <f t="shared" si="45"/>
        <v>84940600</v>
      </c>
      <c r="G15" s="15">
        <f t="shared" si="45"/>
        <v>0</v>
      </c>
      <c r="H15" s="15">
        <f t="shared" si="45"/>
        <v>0</v>
      </c>
      <c r="I15" s="15">
        <f t="shared" si="45"/>
        <v>0</v>
      </c>
      <c r="J15" s="15">
        <f t="shared" si="45"/>
        <v>0</v>
      </c>
      <c r="K15" s="15">
        <f t="shared" si="45"/>
        <v>0</v>
      </c>
      <c r="L15" s="15">
        <f t="shared" si="45"/>
        <v>0</v>
      </c>
      <c r="M15" s="15">
        <f t="shared" si="45"/>
        <v>0</v>
      </c>
      <c r="N15" s="15">
        <f t="shared" si="45"/>
        <v>0</v>
      </c>
      <c r="O15" s="15">
        <f t="shared" si="45"/>
        <v>0</v>
      </c>
      <c r="P15" s="15">
        <f t="shared" si="45"/>
        <v>0</v>
      </c>
      <c r="Q15" s="15">
        <f t="shared" si="45"/>
        <v>0</v>
      </c>
      <c r="R15" s="15">
        <f t="shared" si="45"/>
        <v>0</v>
      </c>
      <c r="S15" s="15">
        <f t="shared" si="45"/>
        <v>0</v>
      </c>
      <c r="T15" s="15">
        <f t="shared" si="45"/>
        <v>0</v>
      </c>
      <c r="U15" s="15">
        <f t="shared" si="45"/>
        <v>0</v>
      </c>
      <c r="V15" s="15">
        <f t="shared" si="45"/>
        <v>0</v>
      </c>
      <c r="W15" s="15">
        <f t="shared" si="45"/>
        <v>0</v>
      </c>
      <c r="X15" s="15">
        <f t="shared" si="45"/>
        <v>0</v>
      </c>
      <c r="Y15" s="15">
        <f t="shared" si="45"/>
        <v>0</v>
      </c>
      <c r="Z15" s="15">
        <f t="shared" si="45"/>
        <v>0</v>
      </c>
      <c r="AA15" s="15">
        <f t="shared" si="45"/>
        <v>0</v>
      </c>
      <c r="AB15" s="15">
        <f t="shared" si="45"/>
        <v>0</v>
      </c>
      <c r="AC15" s="15">
        <f t="shared" si="45"/>
        <v>0</v>
      </c>
      <c r="AD15" s="15">
        <f t="shared" si="45"/>
        <v>0</v>
      </c>
      <c r="AE15" s="15">
        <f t="shared" si="45"/>
        <v>0</v>
      </c>
      <c r="AF15" s="15">
        <f t="shared" si="45"/>
        <v>0</v>
      </c>
      <c r="AG15" s="15">
        <f t="shared" si="45"/>
        <v>0</v>
      </c>
      <c r="AH15" s="15">
        <f t="shared" si="45"/>
        <v>0</v>
      </c>
      <c r="AI15" s="15">
        <f t="shared" si="45"/>
        <v>0</v>
      </c>
      <c r="AJ15" s="15">
        <f t="shared" si="45"/>
        <v>0</v>
      </c>
      <c r="AK15" s="15">
        <f t="shared" si="45"/>
        <v>0</v>
      </c>
      <c r="AL15" s="15">
        <f t="shared" si="45"/>
        <v>0</v>
      </c>
      <c r="AM15" s="15">
        <f t="shared" si="45"/>
        <v>0</v>
      </c>
      <c r="AN15" s="29"/>
      <c r="AO15" s="29"/>
      <c r="AP15" s="10">
        <f t="shared" si="42"/>
        <v>8</v>
      </c>
    </row>
    <row r="16" spans="1:42">
      <c r="A16" s="40">
        <f t="shared" si="39"/>
        <v>2029</v>
      </c>
      <c r="B16" s="52">
        <v>56007700</v>
      </c>
      <c r="C16" s="15">
        <f t="shared" ref="C16:AM16" si="46">IF($A16&gt;C$8, B16+C136, 0)</f>
        <v>58849700</v>
      </c>
      <c r="D16" s="15">
        <f t="shared" si="46"/>
        <v>61543700</v>
      </c>
      <c r="E16" s="15">
        <f t="shared" si="46"/>
        <v>64097700</v>
      </c>
      <c r="F16" s="15">
        <f t="shared" si="46"/>
        <v>65752700</v>
      </c>
      <c r="G16" s="15">
        <f t="shared" si="46"/>
        <v>65752700</v>
      </c>
      <c r="H16" s="15">
        <f t="shared" si="46"/>
        <v>0</v>
      </c>
      <c r="I16" s="15">
        <f t="shared" si="46"/>
        <v>0</v>
      </c>
      <c r="J16" s="15">
        <f t="shared" si="46"/>
        <v>0</v>
      </c>
      <c r="K16" s="15">
        <f t="shared" si="46"/>
        <v>0</v>
      </c>
      <c r="L16" s="15">
        <f t="shared" si="46"/>
        <v>0</v>
      </c>
      <c r="M16" s="15">
        <f t="shared" si="46"/>
        <v>0</v>
      </c>
      <c r="N16" s="15">
        <f t="shared" si="46"/>
        <v>0</v>
      </c>
      <c r="O16" s="15">
        <f t="shared" si="46"/>
        <v>0</v>
      </c>
      <c r="P16" s="15">
        <f t="shared" si="46"/>
        <v>0</v>
      </c>
      <c r="Q16" s="15">
        <f t="shared" si="46"/>
        <v>0</v>
      </c>
      <c r="R16" s="15">
        <f t="shared" si="46"/>
        <v>0</v>
      </c>
      <c r="S16" s="15">
        <f t="shared" si="46"/>
        <v>0</v>
      </c>
      <c r="T16" s="15">
        <f t="shared" si="46"/>
        <v>0</v>
      </c>
      <c r="U16" s="15">
        <f t="shared" si="46"/>
        <v>0</v>
      </c>
      <c r="V16" s="15">
        <f t="shared" si="46"/>
        <v>0</v>
      </c>
      <c r="W16" s="15">
        <f t="shared" si="46"/>
        <v>0</v>
      </c>
      <c r="X16" s="15">
        <f t="shared" si="46"/>
        <v>0</v>
      </c>
      <c r="Y16" s="15">
        <f t="shared" si="46"/>
        <v>0</v>
      </c>
      <c r="Z16" s="15">
        <f t="shared" si="46"/>
        <v>0</v>
      </c>
      <c r="AA16" s="15">
        <f t="shared" si="46"/>
        <v>0</v>
      </c>
      <c r="AB16" s="15">
        <f t="shared" si="46"/>
        <v>0</v>
      </c>
      <c r="AC16" s="15">
        <f t="shared" si="46"/>
        <v>0</v>
      </c>
      <c r="AD16" s="15">
        <f t="shared" si="46"/>
        <v>0</v>
      </c>
      <c r="AE16" s="15">
        <f t="shared" si="46"/>
        <v>0</v>
      </c>
      <c r="AF16" s="15">
        <f t="shared" si="46"/>
        <v>0</v>
      </c>
      <c r="AG16" s="15">
        <f t="shared" si="46"/>
        <v>0</v>
      </c>
      <c r="AH16" s="15">
        <f t="shared" si="46"/>
        <v>0</v>
      </c>
      <c r="AI16" s="15">
        <f t="shared" si="46"/>
        <v>0</v>
      </c>
      <c r="AJ16" s="15">
        <f t="shared" si="46"/>
        <v>0</v>
      </c>
      <c r="AK16" s="15">
        <f t="shared" si="46"/>
        <v>0</v>
      </c>
      <c r="AL16" s="15">
        <f t="shared" si="46"/>
        <v>0</v>
      </c>
      <c r="AM16" s="15">
        <f t="shared" si="46"/>
        <v>0</v>
      </c>
      <c r="AN16" s="29"/>
      <c r="AO16" s="29"/>
      <c r="AP16" s="10">
        <f t="shared" si="42"/>
        <v>9</v>
      </c>
    </row>
    <row r="17" spans="1:42">
      <c r="A17" s="40">
        <f t="shared" si="39"/>
        <v>2030</v>
      </c>
      <c r="B17" s="52">
        <v>56826000</v>
      </c>
      <c r="C17" s="15">
        <f t="shared" ref="C17:AM17" si="47">IF($A17&gt;C$8, B17+C137, 0)</f>
        <v>59825000</v>
      </c>
      <c r="D17" s="15">
        <f t="shared" si="47"/>
        <v>62667000</v>
      </c>
      <c r="E17" s="15">
        <f t="shared" si="47"/>
        <v>65361000</v>
      </c>
      <c r="F17" s="15">
        <f t="shared" si="47"/>
        <v>67107000</v>
      </c>
      <c r="G17" s="15">
        <f t="shared" si="47"/>
        <v>67107000</v>
      </c>
      <c r="H17" s="15">
        <f t="shared" si="47"/>
        <v>67107000</v>
      </c>
      <c r="I17" s="15">
        <f t="shared" si="47"/>
        <v>0</v>
      </c>
      <c r="J17" s="15">
        <f t="shared" si="47"/>
        <v>0</v>
      </c>
      <c r="K17" s="15">
        <f t="shared" si="47"/>
        <v>0</v>
      </c>
      <c r="L17" s="15">
        <f t="shared" si="47"/>
        <v>0</v>
      </c>
      <c r="M17" s="15">
        <f t="shared" si="47"/>
        <v>0</v>
      </c>
      <c r="N17" s="15">
        <f t="shared" si="47"/>
        <v>0</v>
      </c>
      <c r="O17" s="15">
        <f t="shared" si="47"/>
        <v>0</v>
      </c>
      <c r="P17" s="15">
        <f t="shared" si="47"/>
        <v>0</v>
      </c>
      <c r="Q17" s="15">
        <f t="shared" si="47"/>
        <v>0</v>
      </c>
      <c r="R17" s="15">
        <f t="shared" si="47"/>
        <v>0</v>
      </c>
      <c r="S17" s="15">
        <f t="shared" si="47"/>
        <v>0</v>
      </c>
      <c r="T17" s="15">
        <f t="shared" si="47"/>
        <v>0</v>
      </c>
      <c r="U17" s="15">
        <f t="shared" si="47"/>
        <v>0</v>
      </c>
      <c r="V17" s="15">
        <f t="shared" si="47"/>
        <v>0</v>
      </c>
      <c r="W17" s="15">
        <f t="shared" si="47"/>
        <v>0</v>
      </c>
      <c r="X17" s="15">
        <f t="shared" si="47"/>
        <v>0</v>
      </c>
      <c r="Y17" s="15">
        <f t="shared" si="47"/>
        <v>0</v>
      </c>
      <c r="Z17" s="15">
        <f t="shared" si="47"/>
        <v>0</v>
      </c>
      <c r="AA17" s="15">
        <f t="shared" si="47"/>
        <v>0</v>
      </c>
      <c r="AB17" s="15">
        <f t="shared" si="47"/>
        <v>0</v>
      </c>
      <c r="AC17" s="15">
        <f t="shared" si="47"/>
        <v>0</v>
      </c>
      <c r="AD17" s="15">
        <f t="shared" si="47"/>
        <v>0</v>
      </c>
      <c r="AE17" s="15">
        <f t="shared" si="47"/>
        <v>0</v>
      </c>
      <c r="AF17" s="15">
        <f t="shared" si="47"/>
        <v>0</v>
      </c>
      <c r="AG17" s="15">
        <f t="shared" si="47"/>
        <v>0</v>
      </c>
      <c r="AH17" s="15">
        <f t="shared" si="47"/>
        <v>0</v>
      </c>
      <c r="AI17" s="15">
        <f t="shared" si="47"/>
        <v>0</v>
      </c>
      <c r="AJ17" s="15">
        <f t="shared" si="47"/>
        <v>0</v>
      </c>
      <c r="AK17" s="15">
        <f t="shared" si="47"/>
        <v>0</v>
      </c>
      <c r="AL17" s="15">
        <f t="shared" si="47"/>
        <v>0</v>
      </c>
      <c r="AM17" s="15">
        <f t="shared" si="47"/>
        <v>0</v>
      </c>
      <c r="AN17" s="29"/>
      <c r="AO17" s="29"/>
      <c r="AP17" s="10">
        <f t="shared" si="42"/>
        <v>10</v>
      </c>
    </row>
    <row r="18" spans="1:42">
      <c r="A18" s="40">
        <f t="shared" si="39"/>
        <v>2031</v>
      </c>
      <c r="B18" s="52">
        <v>50053000</v>
      </c>
      <c r="C18" s="15">
        <f t="shared" ref="C18:AM18" si="48">IF($A18&gt;C$8, B18+C138, 0)</f>
        <v>53217000</v>
      </c>
      <c r="D18" s="15">
        <f t="shared" si="48"/>
        <v>56216000</v>
      </c>
      <c r="E18" s="15">
        <f t="shared" si="48"/>
        <v>59058000</v>
      </c>
      <c r="F18" s="15">
        <f t="shared" si="48"/>
        <v>60900000</v>
      </c>
      <c r="G18" s="15">
        <f t="shared" si="48"/>
        <v>60900000</v>
      </c>
      <c r="H18" s="15">
        <f t="shared" si="48"/>
        <v>60900000</v>
      </c>
      <c r="I18" s="15">
        <f t="shared" si="48"/>
        <v>62783000</v>
      </c>
      <c r="J18" s="15">
        <f t="shared" si="48"/>
        <v>0</v>
      </c>
      <c r="K18" s="15">
        <f t="shared" si="48"/>
        <v>0</v>
      </c>
      <c r="L18" s="15">
        <f t="shared" si="48"/>
        <v>0</v>
      </c>
      <c r="M18" s="15">
        <f t="shared" si="48"/>
        <v>0</v>
      </c>
      <c r="N18" s="15">
        <f t="shared" si="48"/>
        <v>0</v>
      </c>
      <c r="O18" s="15">
        <f t="shared" si="48"/>
        <v>0</v>
      </c>
      <c r="P18" s="15">
        <f t="shared" si="48"/>
        <v>0</v>
      </c>
      <c r="Q18" s="15">
        <f t="shared" si="48"/>
        <v>0</v>
      </c>
      <c r="R18" s="15">
        <f t="shared" si="48"/>
        <v>0</v>
      </c>
      <c r="S18" s="15">
        <f t="shared" si="48"/>
        <v>0</v>
      </c>
      <c r="T18" s="15">
        <f t="shared" si="48"/>
        <v>0</v>
      </c>
      <c r="U18" s="15">
        <f t="shared" si="48"/>
        <v>0</v>
      </c>
      <c r="V18" s="15">
        <f t="shared" si="48"/>
        <v>0</v>
      </c>
      <c r="W18" s="15">
        <f t="shared" si="48"/>
        <v>0</v>
      </c>
      <c r="X18" s="15">
        <f t="shared" si="48"/>
        <v>0</v>
      </c>
      <c r="Y18" s="15">
        <f t="shared" si="48"/>
        <v>0</v>
      </c>
      <c r="Z18" s="15">
        <f t="shared" si="48"/>
        <v>0</v>
      </c>
      <c r="AA18" s="15">
        <f t="shared" si="48"/>
        <v>0</v>
      </c>
      <c r="AB18" s="15">
        <f t="shared" si="48"/>
        <v>0</v>
      </c>
      <c r="AC18" s="15">
        <f t="shared" si="48"/>
        <v>0</v>
      </c>
      <c r="AD18" s="15">
        <f t="shared" si="48"/>
        <v>0</v>
      </c>
      <c r="AE18" s="15">
        <f t="shared" si="48"/>
        <v>0</v>
      </c>
      <c r="AF18" s="15">
        <f t="shared" si="48"/>
        <v>0</v>
      </c>
      <c r="AG18" s="15">
        <f t="shared" si="48"/>
        <v>0</v>
      </c>
      <c r="AH18" s="15">
        <f t="shared" si="48"/>
        <v>0</v>
      </c>
      <c r="AI18" s="15">
        <f t="shared" si="48"/>
        <v>0</v>
      </c>
      <c r="AJ18" s="15">
        <f t="shared" si="48"/>
        <v>0</v>
      </c>
      <c r="AK18" s="15">
        <f t="shared" si="48"/>
        <v>0</v>
      </c>
      <c r="AL18" s="15">
        <f t="shared" si="48"/>
        <v>0</v>
      </c>
      <c r="AM18" s="15">
        <f t="shared" si="48"/>
        <v>0</v>
      </c>
      <c r="AN18" s="29"/>
      <c r="AO18" s="29"/>
      <c r="AP18" s="10">
        <f t="shared" si="42"/>
        <v>11</v>
      </c>
    </row>
    <row r="19" spans="1:42">
      <c r="A19" s="40">
        <f t="shared" si="39"/>
        <v>2032</v>
      </c>
      <c r="B19" s="52">
        <v>47008000</v>
      </c>
      <c r="C19" s="15">
        <f t="shared" ref="C19:AM19" si="49">IF($A19&gt;C$8, B19+C139, 0)</f>
        <v>50346000</v>
      </c>
      <c r="D19" s="15">
        <f t="shared" si="49"/>
        <v>53510000</v>
      </c>
      <c r="E19" s="15">
        <f t="shared" si="49"/>
        <v>56509000</v>
      </c>
      <c r="F19" s="15">
        <f t="shared" si="49"/>
        <v>58453000</v>
      </c>
      <c r="G19" s="15">
        <f t="shared" si="49"/>
        <v>58453000</v>
      </c>
      <c r="H19" s="15">
        <f t="shared" si="49"/>
        <v>58453000</v>
      </c>
      <c r="I19" s="15">
        <f t="shared" si="49"/>
        <v>60439000</v>
      </c>
      <c r="J19" s="15">
        <f t="shared" si="49"/>
        <v>60439000</v>
      </c>
      <c r="K19" s="15">
        <f t="shared" si="49"/>
        <v>0</v>
      </c>
      <c r="L19" s="15">
        <f t="shared" si="49"/>
        <v>0</v>
      </c>
      <c r="M19" s="15">
        <f t="shared" si="49"/>
        <v>0</v>
      </c>
      <c r="N19" s="15">
        <f t="shared" si="49"/>
        <v>0</v>
      </c>
      <c r="O19" s="15">
        <f t="shared" si="49"/>
        <v>0</v>
      </c>
      <c r="P19" s="15">
        <f t="shared" si="49"/>
        <v>0</v>
      </c>
      <c r="Q19" s="15">
        <f t="shared" si="49"/>
        <v>0</v>
      </c>
      <c r="R19" s="15">
        <f t="shared" si="49"/>
        <v>0</v>
      </c>
      <c r="S19" s="15">
        <f t="shared" si="49"/>
        <v>0</v>
      </c>
      <c r="T19" s="15">
        <f t="shared" si="49"/>
        <v>0</v>
      </c>
      <c r="U19" s="15">
        <f t="shared" si="49"/>
        <v>0</v>
      </c>
      <c r="V19" s="15">
        <f t="shared" si="49"/>
        <v>0</v>
      </c>
      <c r="W19" s="15">
        <f t="shared" si="49"/>
        <v>0</v>
      </c>
      <c r="X19" s="15">
        <f t="shared" si="49"/>
        <v>0</v>
      </c>
      <c r="Y19" s="15">
        <f t="shared" si="49"/>
        <v>0</v>
      </c>
      <c r="Z19" s="15">
        <f t="shared" si="49"/>
        <v>0</v>
      </c>
      <c r="AA19" s="15">
        <f t="shared" si="49"/>
        <v>0</v>
      </c>
      <c r="AB19" s="15">
        <f t="shared" si="49"/>
        <v>0</v>
      </c>
      <c r="AC19" s="15">
        <f t="shared" si="49"/>
        <v>0</v>
      </c>
      <c r="AD19" s="15">
        <f t="shared" si="49"/>
        <v>0</v>
      </c>
      <c r="AE19" s="15">
        <f t="shared" si="49"/>
        <v>0</v>
      </c>
      <c r="AF19" s="15">
        <f t="shared" si="49"/>
        <v>0</v>
      </c>
      <c r="AG19" s="15">
        <f t="shared" si="49"/>
        <v>0</v>
      </c>
      <c r="AH19" s="15">
        <f t="shared" si="49"/>
        <v>0</v>
      </c>
      <c r="AI19" s="15">
        <f t="shared" si="49"/>
        <v>0</v>
      </c>
      <c r="AJ19" s="15">
        <f t="shared" si="49"/>
        <v>0</v>
      </c>
      <c r="AK19" s="15">
        <f t="shared" si="49"/>
        <v>0</v>
      </c>
      <c r="AL19" s="15">
        <f t="shared" si="49"/>
        <v>0</v>
      </c>
      <c r="AM19" s="15">
        <f t="shared" si="49"/>
        <v>0</v>
      </c>
      <c r="AN19" s="29"/>
      <c r="AO19" s="29"/>
      <c r="AP19" s="10">
        <f t="shared" si="42"/>
        <v>12</v>
      </c>
    </row>
    <row r="20" spans="1:42">
      <c r="A20" s="40">
        <f t="shared" si="39"/>
        <v>2033</v>
      </c>
      <c r="B20" s="52">
        <v>40942000</v>
      </c>
      <c r="C20" s="15">
        <f t="shared" ref="C20:AM20" si="50">IF($A20&gt;C$8, B20+C140, 0)</f>
        <v>44463000</v>
      </c>
      <c r="D20" s="15">
        <f t="shared" si="50"/>
        <v>47801000</v>
      </c>
      <c r="E20" s="15">
        <f t="shared" si="50"/>
        <v>50965000</v>
      </c>
      <c r="F20" s="15">
        <f t="shared" si="50"/>
        <v>53016000</v>
      </c>
      <c r="G20" s="15">
        <f t="shared" si="50"/>
        <v>53016000</v>
      </c>
      <c r="H20" s="15">
        <f t="shared" si="50"/>
        <v>53016000</v>
      </c>
      <c r="I20" s="15">
        <f t="shared" si="50"/>
        <v>55111000</v>
      </c>
      <c r="J20" s="15">
        <f t="shared" si="50"/>
        <v>55111000</v>
      </c>
      <c r="K20" s="15">
        <f t="shared" si="50"/>
        <v>55111000</v>
      </c>
      <c r="L20" s="15">
        <f t="shared" si="50"/>
        <v>0</v>
      </c>
      <c r="M20" s="15">
        <f t="shared" si="50"/>
        <v>0</v>
      </c>
      <c r="N20" s="15">
        <f t="shared" si="50"/>
        <v>0</v>
      </c>
      <c r="O20" s="15">
        <f t="shared" si="50"/>
        <v>0</v>
      </c>
      <c r="P20" s="15">
        <f t="shared" si="50"/>
        <v>0</v>
      </c>
      <c r="Q20" s="15">
        <f t="shared" si="50"/>
        <v>0</v>
      </c>
      <c r="R20" s="15">
        <f t="shared" si="50"/>
        <v>0</v>
      </c>
      <c r="S20" s="15">
        <f t="shared" si="50"/>
        <v>0</v>
      </c>
      <c r="T20" s="15">
        <f t="shared" si="50"/>
        <v>0</v>
      </c>
      <c r="U20" s="15">
        <f t="shared" si="50"/>
        <v>0</v>
      </c>
      <c r="V20" s="15">
        <f t="shared" si="50"/>
        <v>0</v>
      </c>
      <c r="W20" s="15">
        <f t="shared" si="50"/>
        <v>0</v>
      </c>
      <c r="X20" s="15">
        <f t="shared" si="50"/>
        <v>0</v>
      </c>
      <c r="Y20" s="15">
        <f t="shared" si="50"/>
        <v>0</v>
      </c>
      <c r="Z20" s="15">
        <f t="shared" si="50"/>
        <v>0</v>
      </c>
      <c r="AA20" s="15">
        <f t="shared" si="50"/>
        <v>0</v>
      </c>
      <c r="AB20" s="15">
        <f t="shared" si="50"/>
        <v>0</v>
      </c>
      <c r="AC20" s="15">
        <f t="shared" si="50"/>
        <v>0</v>
      </c>
      <c r="AD20" s="15">
        <f t="shared" si="50"/>
        <v>0</v>
      </c>
      <c r="AE20" s="15">
        <f t="shared" si="50"/>
        <v>0</v>
      </c>
      <c r="AF20" s="15">
        <f t="shared" si="50"/>
        <v>0</v>
      </c>
      <c r="AG20" s="15">
        <f t="shared" si="50"/>
        <v>0</v>
      </c>
      <c r="AH20" s="15">
        <f t="shared" si="50"/>
        <v>0</v>
      </c>
      <c r="AI20" s="15">
        <f t="shared" si="50"/>
        <v>0</v>
      </c>
      <c r="AJ20" s="15">
        <f t="shared" si="50"/>
        <v>0</v>
      </c>
      <c r="AK20" s="15">
        <f t="shared" si="50"/>
        <v>0</v>
      </c>
      <c r="AL20" s="15">
        <f t="shared" si="50"/>
        <v>0</v>
      </c>
      <c r="AM20" s="15">
        <f t="shared" si="50"/>
        <v>0</v>
      </c>
      <c r="AN20" s="29"/>
      <c r="AO20" s="29"/>
      <c r="AP20" s="10">
        <f t="shared" si="42"/>
        <v>13</v>
      </c>
    </row>
    <row r="21" spans="1:42">
      <c r="A21" s="40">
        <f t="shared" si="39"/>
        <v>2034</v>
      </c>
      <c r="B21" s="52">
        <v>37208000</v>
      </c>
      <c r="C21" s="15">
        <f t="shared" ref="C21:AM21" si="51">IF($A21&gt;C$8, B21+C141, 0)</f>
        <v>40923000</v>
      </c>
      <c r="D21" s="15">
        <f t="shared" si="51"/>
        <v>44444000</v>
      </c>
      <c r="E21" s="15">
        <f t="shared" si="51"/>
        <v>47782000</v>
      </c>
      <c r="F21" s="15">
        <f t="shared" si="51"/>
        <v>49945000</v>
      </c>
      <c r="G21" s="15">
        <f t="shared" si="51"/>
        <v>49945000</v>
      </c>
      <c r="H21" s="15">
        <f t="shared" si="51"/>
        <v>49945000</v>
      </c>
      <c r="I21" s="15">
        <f t="shared" si="51"/>
        <v>52156000</v>
      </c>
      <c r="J21" s="15">
        <f t="shared" si="51"/>
        <v>52156000</v>
      </c>
      <c r="K21" s="15">
        <f t="shared" si="51"/>
        <v>52156000</v>
      </c>
      <c r="L21" s="15">
        <f t="shared" si="51"/>
        <v>52156000</v>
      </c>
      <c r="M21" s="15">
        <f t="shared" si="51"/>
        <v>0</v>
      </c>
      <c r="N21" s="15">
        <f t="shared" si="51"/>
        <v>0</v>
      </c>
      <c r="O21" s="15">
        <f t="shared" si="51"/>
        <v>0</v>
      </c>
      <c r="P21" s="15">
        <f t="shared" si="51"/>
        <v>0</v>
      </c>
      <c r="Q21" s="15">
        <f t="shared" si="51"/>
        <v>0</v>
      </c>
      <c r="R21" s="15">
        <f t="shared" si="51"/>
        <v>0</v>
      </c>
      <c r="S21" s="15">
        <f t="shared" si="51"/>
        <v>0</v>
      </c>
      <c r="T21" s="15">
        <f t="shared" si="51"/>
        <v>0</v>
      </c>
      <c r="U21" s="15">
        <f t="shared" si="51"/>
        <v>0</v>
      </c>
      <c r="V21" s="15">
        <f t="shared" si="51"/>
        <v>0</v>
      </c>
      <c r="W21" s="15">
        <f t="shared" si="51"/>
        <v>0</v>
      </c>
      <c r="X21" s="15">
        <f t="shared" si="51"/>
        <v>0</v>
      </c>
      <c r="Y21" s="15">
        <f t="shared" si="51"/>
        <v>0</v>
      </c>
      <c r="Z21" s="15">
        <f t="shared" si="51"/>
        <v>0</v>
      </c>
      <c r="AA21" s="15">
        <f t="shared" si="51"/>
        <v>0</v>
      </c>
      <c r="AB21" s="15">
        <f t="shared" si="51"/>
        <v>0</v>
      </c>
      <c r="AC21" s="15">
        <f t="shared" si="51"/>
        <v>0</v>
      </c>
      <c r="AD21" s="15">
        <f t="shared" si="51"/>
        <v>0</v>
      </c>
      <c r="AE21" s="15">
        <f t="shared" si="51"/>
        <v>0</v>
      </c>
      <c r="AF21" s="15">
        <f t="shared" si="51"/>
        <v>0</v>
      </c>
      <c r="AG21" s="15">
        <f t="shared" si="51"/>
        <v>0</v>
      </c>
      <c r="AH21" s="15">
        <f t="shared" si="51"/>
        <v>0</v>
      </c>
      <c r="AI21" s="15">
        <f t="shared" si="51"/>
        <v>0</v>
      </c>
      <c r="AJ21" s="15">
        <f t="shared" si="51"/>
        <v>0</v>
      </c>
      <c r="AK21" s="15">
        <f t="shared" si="51"/>
        <v>0</v>
      </c>
      <c r="AL21" s="15">
        <f t="shared" si="51"/>
        <v>0</v>
      </c>
      <c r="AM21" s="15">
        <f t="shared" si="51"/>
        <v>0</v>
      </c>
      <c r="AN21" s="29"/>
      <c r="AO21" s="29"/>
      <c r="AP21" s="10">
        <f t="shared" si="42"/>
        <v>14</v>
      </c>
    </row>
    <row r="22" spans="1:42">
      <c r="A22" s="40">
        <f t="shared" si="39"/>
        <v>2035</v>
      </c>
      <c r="B22" s="52">
        <v>36932000</v>
      </c>
      <c r="C22" s="15">
        <f t="shared" ref="C22:AM22" si="52">IF($A22&gt;C$8, B22+C142, 0)</f>
        <v>40851000</v>
      </c>
      <c r="D22" s="15">
        <f t="shared" si="52"/>
        <v>44566000</v>
      </c>
      <c r="E22" s="15">
        <f t="shared" si="52"/>
        <v>48087000</v>
      </c>
      <c r="F22" s="15">
        <f t="shared" si="52"/>
        <v>50369000</v>
      </c>
      <c r="G22" s="15">
        <f t="shared" si="52"/>
        <v>50369000</v>
      </c>
      <c r="H22" s="15">
        <f t="shared" si="52"/>
        <v>50369000</v>
      </c>
      <c r="I22" s="15">
        <f t="shared" si="52"/>
        <v>52701000</v>
      </c>
      <c r="J22" s="15">
        <f t="shared" si="52"/>
        <v>52701000</v>
      </c>
      <c r="K22" s="15">
        <f t="shared" si="52"/>
        <v>52701000</v>
      </c>
      <c r="L22" s="15">
        <f t="shared" si="52"/>
        <v>52701000</v>
      </c>
      <c r="M22" s="15">
        <f t="shared" si="52"/>
        <v>53342000</v>
      </c>
      <c r="N22" s="15">
        <f t="shared" si="52"/>
        <v>0</v>
      </c>
      <c r="O22" s="15">
        <f t="shared" si="52"/>
        <v>0</v>
      </c>
      <c r="P22" s="15">
        <f t="shared" si="52"/>
        <v>0</v>
      </c>
      <c r="Q22" s="15">
        <f t="shared" si="52"/>
        <v>0</v>
      </c>
      <c r="R22" s="15">
        <f t="shared" si="52"/>
        <v>0</v>
      </c>
      <c r="S22" s="15">
        <f t="shared" si="52"/>
        <v>0</v>
      </c>
      <c r="T22" s="15">
        <f t="shared" si="52"/>
        <v>0</v>
      </c>
      <c r="U22" s="15">
        <f t="shared" si="52"/>
        <v>0</v>
      </c>
      <c r="V22" s="15">
        <f t="shared" si="52"/>
        <v>0</v>
      </c>
      <c r="W22" s="15">
        <f t="shared" si="52"/>
        <v>0</v>
      </c>
      <c r="X22" s="15">
        <f t="shared" si="52"/>
        <v>0</v>
      </c>
      <c r="Y22" s="15">
        <f t="shared" si="52"/>
        <v>0</v>
      </c>
      <c r="Z22" s="15">
        <f t="shared" si="52"/>
        <v>0</v>
      </c>
      <c r="AA22" s="15">
        <f t="shared" si="52"/>
        <v>0</v>
      </c>
      <c r="AB22" s="15">
        <f t="shared" si="52"/>
        <v>0</v>
      </c>
      <c r="AC22" s="15">
        <f t="shared" si="52"/>
        <v>0</v>
      </c>
      <c r="AD22" s="15">
        <f t="shared" si="52"/>
        <v>0</v>
      </c>
      <c r="AE22" s="15">
        <f t="shared" si="52"/>
        <v>0</v>
      </c>
      <c r="AF22" s="15">
        <f t="shared" si="52"/>
        <v>0</v>
      </c>
      <c r="AG22" s="15">
        <f t="shared" si="52"/>
        <v>0</v>
      </c>
      <c r="AH22" s="15">
        <f t="shared" si="52"/>
        <v>0</v>
      </c>
      <c r="AI22" s="15">
        <f t="shared" si="52"/>
        <v>0</v>
      </c>
      <c r="AJ22" s="15">
        <f t="shared" si="52"/>
        <v>0</v>
      </c>
      <c r="AK22" s="15">
        <f t="shared" si="52"/>
        <v>0</v>
      </c>
      <c r="AL22" s="15">
        <f t="shared" si="52"/>
        <v>0</v>
      </c>
      <c r="AM22" s="15">
        <f t="shared" si="52"/>
        <v>0</v>
      </c>
      <c r="AN22" s="29"/>
      <c r="AO22" s="29"/>
      <c r="AP22" s="10">
        <f t="shared" si="42"/>
        <v>15</v>
      </c>
    </row>
    <row r="23" spans="1:42">
      <c r="A23" s="40">
        <f t="shared" si="39"/>
        <v>2036</v>
      </c>
      <c r="B23" s="52">
        <v>32881000</v>
      </c>
      <c r="C23" s="15">
        <f t="shared" ref="C23:AM23" si="53">IF($A23&gt;C$8, B23+C143, 0)</f>
        <v>37016000</v>
      </c>
      <c r="D23" s="15">
        <f t="shared" si="53"/>
        <v>40935000</v>
      </c>
      <c r="E23" s="15">
        <f t="shared" si="53"/>
        <v>44650000</v>
      </c>
      <c r="F23" s="15">
        <f t="shared" si="53"/>
        <v>47058000</v>
      </c>
      <c r="G23" s="15">
        <f t="shared" si="53"/>
        <v>47058000</v>
      </c>
      <c r="H23" s="15">
        <f t="shared" si="53"/>
        <v>47058000</v>
      </c>
      <c r="I23" s="15">
        <f t="shared" si="53"/>
        <v>49519000</v>
      </c>
      <c r="J23" s="15">
        <f t="shared" si="53"/>
        <v>49519000</v>
      </c>
      <c r="K23" s="15">
        <f t="shared" si="53"/>
        <v>49519000</v>
      </c>
      <c r="L23" s="15">
        <f t="shared" si="53"/>
        <v>49519000</v>
      </c>
      <c r="M23" s="15">
        <f t="shared" si="53"/>
        <v>50195000</v>
      </c>
      <c r="N23" s="15">
        <f t="shared" si="53"/>
        <v>50195000</v>
      </c>
      <c r="O23" s="15">
        <f t="shared" si="53"/>
        <v>0</v>
      </c>
      <c r="P23" s="15">
        <f t="shared" si="53"/>
        <v>0</v>
      </c>
      <c r="Q23" s="15">
        <f t="shared" si="53"/>
        <v>0</v>
      </c>
      <c r="R23" s="15">
        <f t="shared" si="53"/>
        <v>0</v>
      </c>
      <c r="S23" s="15">
        <f t="shared" si="53"/>
        <v>0</v>
      </c>
      <c r="T23" s="15">
        <f t="shared" si="53"/>
        <v>0</v>
      </c>
      <c r="U23" s="15">
        <f t="shared" si="53"/>
        <v>0</v>
      </c>
      <c r="V23" s="15">
        <f t="shared" si="53"/>
        <v>0</v>
      </c>
      <c r="W23" s="15">
        <f t="shared" si="53"/>
        <v>0</v>
      </c>
      <c r="X23" s="15">
        <f t="shared" si="53"/>
        <v>0</v>
      </c>
      <c r="Y23" s="15">
        <f t="shared" si="53"/>
        <v>0</v>
      </c>
      <c r="Z23" s="15">
        <f t="shared" si="53"/>
        <v>0</v>
      </c>
      <c r="AA23" s="15">
        <f t="shared" si="53"/>
        <v>0</v>
      </c>
      <c r="AB23" s="15">
        <f t="shared" si="53"/>
        <v>0</v>
      </c>
      <c r="AC23" s="15">
        <f t="shared" si="53"/>
        <v>0</v>
      </c>
      <c r="AD23" s="15">
        <f t="shared" si="53"/>
        <v>0</v>
      </c>
      <c r="AE23" s="15">
        <f t="shared" si="53"/>
        <v>0</v>
      </c>
      <c r="AF23" s="15">
        <f t="shared" si="53"/>
        <v>0</v>
      </c>
      <c r="AG23" s="15">
        <f t="shared" si="53"/>
        <v>0</v>
      </c>
      <c r="AH23" s="15">
        <f t="shared" si="53"/>
        <v>0</v>
      </c>
      <c r="AI23" s="15">
        <f t="shared" si="53"/>
        <v>0</v>
      </c>
      <c r="AJ23" s="15">
        <f t="shared" si="53"/>
        <v>0</v>
      </c>
      <c r="AK23" s="15">
        <f t="shared" si="53"/>
        <v>0</v>
      </c>
      <c r="AL23" s="15">
        <f t="shared" si="53"/>
        <v>0</v>
      </c>
      <c r="AM23" s="15">
        <f t="shared" si="53"/>
        <v>0</v>
      </c>
      <c r="AN23" s="29"/>
      <c r="AO23" s="29"/>
      <c r="AP23" s="10">
        <f t="shared" si="42"/>
        <v>16</v>
      </c>
    </row>
    <row r="24" spans="1:42">
      <c r="A24" s="40">
        <f t="shared" si="39"/>
        <v>2037</v>
      </c>
      <c r="B24" s="52">
        <v>32043000</v>
      </c>
      <c r="C24" s="15">
        <f t="shared" ref="C24:AM24" si="54">IF($A24&gt;C$8, B24+C144, 0)</f>
        <v>36405000</v>
      </c>
      <c r="D24" s="15">
        <f t="shared" si="54"/>
        <v>40540000</v>
      </c>
      <c r="E24" s="15">
        <f t="shared" si="54"/>
        <v>44459000</v>
      </c>
      <c r="F24" s="15">
        <f t="shared" si="54"/>
        <v>46999000</v>
      </c>
      <c r="G24" s="15">
        <f t="shared" si="54"/>
        <v>46999000</v>
      </c>
      <c r="H24" s="15">
        <f t="shared" si="54"/>
        <v>46999000</v>
      </c>
      <c r="I24" s="15">
        <f t="shared" si="54"/>
        <v>49595000</v>
      </c>
      <c r="J24" s="15">
        <f t="shared" si="54"/>
        <v>49595000</v>
      </c>
      <c r="K24" s="15">
        <f t="shared" si="54"/>
        <v>49595000</v>
      </c>
      <c r="L24" s="15">
        <f t="shared" si="54"/>
        <v>49595000</v>
      </c>
      <c r="M24" s="15">
        <f t="shared" si="54"/>
        <v>50308000</v>
      </c>
      <c r="N24" s="15">
        <f t="shared" si="54"/>
        <v>50308000</v>
      </c>
      <c r="O24" s="15">
        <f t="shared" si="54"/>
        <v>51745000</v>
      </c>
      <c r="P24" s="15">
        <f t="shared" si="54"/>
        <v>0</v>
      </c>
      <c r="Q24" s="15">
        <f t="shared" si="54"/>
        <v>0</v>
      </c>
      <c r="R24" s="15">
        <f t="shared" si="54"/>
        <v>0</v>
      </c>
      <c r="S24" s="15">
        <f t="shared" si="54"/>
        <v>0</v>
      </c>
      <c r="T24" s="15">
        <f t="shared" si="54"/>
        <v>0</v>
      </c>
      <c r="U24" s="15">
        <f t="shared" si="54"/>
        <v>0</v>
      </c>
      <c r="V24" s="15">
        <f t="shared" si="54"/>
        <v>0</v>
      </c>
      <c r="W24" s="15">
        <f t="shared" si="54"/>
        <v>0</v>
      </c>
      <c r="X24" s="15">
        <f t="shared" si="54"/>
        <v>0</v>
      </c>
      <c r="Y24" s="15">
        <f t="shared" si="54"/>
        <v>0</v>
      </c>
      <c r="Z24" s="15">
        <f t="shared" si="54"/>
        <v>0</v>
      </c>
      <c r="AA24" s="15">
        <f t="shared" si="54"/>
        <v>0</v>
      </c>
      <c r="AB24" s="15">
        <f t="shared" si="54"/>
        <v>0</v>
      </c>
      <c r="AC24" s="15">
        <f t="shared" si="54"/>
        <v>0</v>
      </c>
      <c r="AD24" s="15">
        <f t="shared" si="54"/>
        <v>0</v>
      </c>
      <c r="AE24" s="15">
        <f t="shared" si="54"/>
        <v>0</v>
      </c>
      <c r="AF24" s="15">
        <f t="shared" si="54"/>
        <v>0</v>
      </c>
      <c r="AG24" s="15">
        <f t="shared" si="54"/>
        <v>0</v>
      </c>
      <c r="AH24" s="15">
        <f t="shared" si="54"/>
        <v>0</v>
      </c>
      <c r="AI24" s="15">
        <f t="shared" si="54"/>
        <v>0</v>
      </c>
      <c r="AJ24" s="15">
        <f t="shared" si="54"/>
        <v>0</v>
      </c>
      <c r="AK24" s="15">
        <f t="shared" si="54"/>
        <v>0</v>
      </c>
      <c r="AL24" s="15">
        <f t="shared" si="54"/>
        <v>0</v>
      </c>
      <c r="AM24" s="15">
        <f t="shared" si="54"/>
        <v>0</v>
      </c>
      <c r="AN24" s="29"/>
      <c r="AO24" s="29"/>
      <c r="AP24" s="10">
        <f t="shared" si="42"/>
        <v>17</v>
      </c>
    </row>
    <row r="25" spans="1:42">
      <c r="A25" s="40">
        <f t="shared" si="39"/>
        <v>2038</v>
      </c>
      <c r="B25" s="52">
        <v>30658000</v>
      </c>
      <c r="C25" s="15">
        <f t="shared" ref="C25:AM25" si="55">IF($A25&gt;C$8, B25+C145, 0)</f>
        <v>35260000</v>
      </c>
      <c r="D25" s="15">
        <f t="shared" si="55"/>
        <v>39622000</v>
      </c>
      <c r="E25" s="15">
        <f t="shared" si="55"/>
        <v>43757000</v>
      </c>
      <c r="F25" s="15">
        <f t="shared" si="55"/>
        <v>46437000</v>
      </c>
      <c r="G25" s="15">
        <f t="shared" si="55"/>
        <v>46437000</v>
      </c>
      <c r="H25" s="15">
        <f t="shared" si="55"/>
        <v>46437000</v>
      </c>
      <c r="I25" s="15">
        <f t="shared" si="55"/>
        <v>49176000</v>
      </c>
      <c r="J25" s="15">
        <f t="shared" si="55"/>
        <v>49176000</v>
      </c>
      <c r="K25" s="15">
        <f t="shared" si="55"/>
        <v>49176000</v>
      </c>
      <c r="L25" s="15">
        <f t="shared" si="55"/>
        <v>49176000</v>
      </c>
      <c r="M25" s="15">
        <f t="shared" si="55"/>
        <v>49928000</v>
      </c>
      <c r="N25" s="15">
        <f t="shared" si="55"/>
        <v>49928000</v>
      </c>
      <c r="O25" s="15">
        <f t="shared" si="55"/>
        <v>51444000</v>
      </c>
      <c r="P25" s="15">
        <f t="shared" si="55"/>
        <v>51444000</v>
      </c>
      <c r="Q25" s="15">
        <f t="shared" si="55"/>
        <v>0</v>
      </c>
      <c r="R25" s="15">
        <f t="shared" si="55"/>
        <v>0</v>
      </c>
      <c r="S25" s="15">
        <f t="shared" si="55"/>
        <v>0</v>
      </c>
      <c r="T25" s="15">
        <f t="shared" si="55"/>
        <v>0</v>
      </c>
      <c r="U25" s="15">
        <f t="shared" si="55"/>
        <v>0</v>
      </c>
      <c r="V25" s="15">
        <f t="shared" si="55"/>
        <v>0</v>
      </c>
      <c r="W25" s="15">
        <f t="shared" si="55"/>
        <v>0</v>
      </c>
      <c r="X25" s="15">
        <f t="shared" si="55"/>
        <v>0</v>
      </c>
      <c r="Y25" s="15">
        <f t="shared" si="55"/>
        <v>0</v>
      </c>
      <c r="Z25" s="15">
        <f t="shared" si="55"/>
        <v>0</v>
      </c>
      <c r="AA25" s="15">
        <f t="shared" si="55"/>
        <v>0</v>
      </c>
      <c r="AB25" s="15">
        <f t="shared" si="55"/>
        <v>0</v>
      </c>
      <c r="AC25" s="15">
        <f t="shared" si="55"/>
        <v>0</v>
      </c>
      <c r="AD25" s="15">
        <f t="shared" si="55"/>
        <v>0</v>
      </c>
      <c r="AE25" s="15">
        <f t="shared" si="55"/>
        <v>0</v>
      </c>
      <c r="AF25" s="15">
        <f t="shared" si="55"/>
        <v>0</v>
      </c>
      <c r="AG25" s="15">
        <f t="shared" si="55"/>
        <v>0</v>
      </c>
      <c r="AH25" s="15">
        <f t="shared" si="55"/>
        <v>0</v>
      </c>
      <c r="AI25" s="15">
        <f t="shared" si="55"/>
        <v>0</v>
      </c>
      <c r="AJ25" s="15">
        <f t="shared" si="55"/>
        <v>0</v>
      </c>
      <c r="AK25" s="15">
        <f t="shared" si="55"/>
        <v>0</v>
      </c>
      <c r="AL25" s="15">
        <f t="shared" si="55"/>
        <v>0</v>
      </c>
      <c r="AM25" s="15">
        <f t="shared" si="55"/>
        <v>0</v>
      </c>
      <c r="AN25" s="29"/>
      <c r="AO25" s="29"/>
      <c r="AP25" s="10">
        <f t="shared" si="42"/>
        <v>18</v>
      </c>
    </row>
    <row r="26" spans="1:42">
      <c r="A26" s="40">
        <f t="shared" si="39"/>
        <v>2039</v>
      </c>
      <c r="B26" s="52">
        <v>25701000</v>
      </c>
      <c r="C26" s="15">
        <f t="shared" ref="C26:AM26" si="56">IF($A26&gt;C$8, B26+C146, 0)</f>
        <v>30556000</v>
      </c>
      <c r="D26" s="15">
        <f t="shared" si="56"/>
        <v>35158000</v>
      </c>
      <c r="E26" s="15">
        <f t="shared" si="56"/>
        <v>39520000</v>
      </c>
      <c r="F26" s="15">
        <f t="shared" si="56"/>
        <v>42348000</v>
      </c>
      <c r="G26" s="15">
        <f t="shared" si="56"/>
        <v>42348000</v>
      </c>
      <c r="H26" s="15">
        <f t="shared" si="56"/>
        <v>42348000</v>
      </c>
      <c r="I26" s="15">
        <f t="shared" si="56"/>
        <v>45237000</v>
      </c>
      <c r="J26" s="15">
        <f t="shared" si="56"/>
        <v>45237000</v>
      </c>
      <c r="K26" s="15">
        <f t="shared" si="56"/>
        <v>45237000</v>
      </c>
      <c r="L26" s="15">
        <f t="shared" si="56"/>
        <v>45237000</v>
      </c>
      <c r="M26" s="15">
        <f t="shared" si="56"/>
        <v>46031000</v>
      </c>
      <c r="N26" s="15">
        <f t="shared" si="56"/>
        <v>46031000</v>
      </c>
      <c r="O26" s="15">
        <f t="shared" si="56"/>
        <v>47631000</v>
      </c>
      <c r="P26" s="15">
        <f t="shared" si="56"/>
        <v>47631000</v>
      </c>
      <c r="Q26" s="15">
        <f t="shared" si="56"/>
        <v>49278000</v>
      </c>
      <c r="R26" s="15">
        <f t="shared" si="56"/>
        <v>0</v>
      </c>
      <c r="S26" s="15">
        <f t="shared" si="56"/>
        <v>0</v>
      </c>
      <c r="T26" s="15">
        <f t="shared" si="56"/>
        <v>0</v>
      </c>
      <c r="U26" s="15">
        <f t="shared" si="56"/>
        <v>0</v>
      </c>
      <c r="V26" s="15">
        <f t="shared" si="56"/>
        <v>0</v>
      </c>
      <c r="W26" s="15">
        <f t="shared" si="56"/>
        <v>0</v>
      </c>
      <c r="X26" s="15">
        <f t="shared" si="56"/>
        <v>0</v>
      </c>
      <c r="Y26" s="15">
        <f t="shared" si="56"/>
        <v>0</v>
      </c>
      <c r="Z26" s="15">
        <f t="shared" si="56"/>
        <v>0</v>
      </c>
      <c r="AA26" s="15">
        <f t="shared" si="56"/>
        <v>0</v>
      </c>
      <c r="AB26" s="15">
        <f t="shared" si="56"/>
        <v>0</v>
      </c>
      <c r="AC26" s="15">
        <f t="shared" si="56"/>
        <v>0</v>
      </c>
      <c r="AD26" s="15">
        <f t="shared" si="56"/>
        <v>0</v>
      </c>
      <c r="AE26" s="15">
        <f t="shared" si="56"/>
        <v>0</v>
      </c>
      <c r="AF26" s="15">
        <f t="shared" si="56"/>
        <v>0</v>
      </c>
      <c r="AG26" s="15">
        <f t="shared" si="56"/>
        <v>0</v>
      </c>
      <c r="AH26" s="15">
        <f t="shared" si="56"/>
        <v>0</v>
      </c>
      <c r="AI26" s="15">
        <f t="shared" si="56"/>
        <v>0</v>
      </c>
      <c r="AJ26" s="15">
        <f t="shared" si="56"/>
        <v>0</v>
      </c>
      <c r="AK26" s="15">
        <f t="shared" si="56"/>
        <v>0</v>
      </c>
      <c r="AL26" s="15">
        <f t="shared" si="56"/>
        <v>0</v>
      </c>
      <c r="AM26" s="15">
        <f t="shared" si="56"/>
        <v>0</v>
      </c>
      <c r="AN26" s="29"/>
      <c r="AO26" s="29"/>
      <c r="AP26" s="10">
        <f t="shared" si="42"/>
        <v>19</v>
      </c>
    </row>
    <row r="27" spans="1:42">
      <c r="A27" s="40">
        <f t="shared" si="39"/>
        <v>2040</v>
      </c>
      <c r="B27" s="52">
        <v>21577000</v>
      </c>
      <c r="C27" s="15">
        <f t="shared" ref="C27:AM27" si="57">IF($A27&gt;C$8, B27+C147, 0)</f>
        <v>26699000</v>
      </c>
      <c r="D27" s="15">
        <f t="shared" si="57"/>
        <v>31554000</v>
      </c>
      <c r="E27" s="15">
        <f t="shared" si="57"/>
        <v>36156000</v>
      </c>
      <c r="F27" s="15">
        <f t="shared" si="57"/>
        <v>39139000</v>
      </c>
      <c r="G27" s="15">
        <f t="shared" si="57"/>
        <v>39139000</v>
      </c>
      <c r="H27" s="15">
        <f t="shared" si="57"/>
        <v>39139000</v>
      </c>
      <c r="I27" s="15">
        <f t="shared" si="57"/>
        <v>42187000</v>
      </c>
      <c r="J27" s="15">
        <f t="shared" si="57"/>
        <v>42187000</v>
      </c>
      <c r="K27" s="15">
        <f t="shared" si="57"/>
        <v>42187000</v>
      </c>
      <c r="L27" s="15">
        <f t="shared" si="57"/>
        <v>42187000</v>
      </c>
      <c r="M27" s="15">
        <f t="shared" si="57"/>
        <v>43024000</v>
      </c>
      <c r="N27" s="15">
        <f t="shared" si="57"/>
        <v>43024000</v>
      </c>
      <c r="O27" s="15">
        <f t="shared" si="57"/>
        <v>44712000</v>
      </c>
      <c r="P27" s="15">
        <f t="shared" si="57"/>
        <v>44712000</v>
      </c>
      <c r="Q27" s="15">
        <f t="shared" si="57"/>
        <v>46450000</v>
      </c>
      <c r="R27" s="15">
        <f t="shared" si="57"/>
        <v>48122000</v>
      </c>
      <c r="S27" s="15">
        <f t="shared" si="57"/>
        <v>0</v>
      </c>
      <c r="T27" s="15">
        <f t="shared" si="57"/>
        <v>0</v>
      </c>
      <c r="U27" s="15">
        <f t="shared" si="57"/>
        <v>0</v>
      </c>
      <c r="V27" s="15">
        <f t="shared" si="57"/>
        <v>0</v>
      </c>
      <c r="W27" s="15">
        <f t="shared" si="57"/>
        <v>0</v>
      </c>
      <c r="X27" s="15">
        <f t="shared" si="57"/>
        <v>0</v>
      </c>
      <c r="Y27" s="15">
        <f t="shared" si="57"/>
        <v>0</v>
      </c>
      <c r="Z27" s="15">
        <f t="shared" si="57"/>
        <v>0</v>
      </c>
      <c r="AA27" s="15">
        <f t="shared" si="57"/>
        <v>0</v>
      </c>
      <c r="AB27" s="15">
        <f t="shared" si="57"/>
        <v>0</v>
      </c>
      <c r="AC27" s="15">
        <f t="shared" si="57"/>
        <v>0</v>
      </c>
      <c r="AD27" s="15">
        <f t="shared" si="57"/>
        <v>0</v>
      </c>
      <c r="AE27" s="15">
        <f t="shared" si="57"/>
        <v>0</v>
      </c>
      <c r="AF27" s="15">
        <f t="shared" si="57"/>
        <v>0</v>
      </c>
      <c r="AG27" s="15">
        <f t="shared" si="57"/>
        <v>0</v>
      </c>
      <c r="AH27" s="15">
        <f t="shared" si="57"/>
        <v>0</v>
      </c>
      <c r="AI27" s="15">
        <f t="shared" si="57"/>
        <v>0</v>
      </c>
      <c r="AJ27" s="15">
        <f t="shared" si="57"/>
        <v>0</v>
      </c>
      <c r="AK27" s="15">
        <f t="shared" si="57"/>
        <v>0</v>
      </c>
      <c r="AL27" s="15">
        <f t="shared" si="57"/>
        <v>0</v>
      </c>
      <c r="AM27" s="15">
        <f t="shared" si="57"/>
        <v>0</v>
      </c>
      <c r="AN27" s="29"/>
      <c r="AO27" s="29"/>
      <c r="AP27" s="10">
        <f t="shared" si="42"/>
        <v>20</v>
      </c>
    </row>
    <row r="28" spans="1:42">
      <c r="A28" s="40">
        <f t="shared" si="39"/>
        <v>2041</v>
      </c>
      <c r="B28" s="52">
        <v>17478000</v>
      </c>
      <c r="C28" s="15">
        <f t="shared" ref="C28:AM28" si="58">IF($A28&gt;C$8, B28+C148, 0)</f>
        <v>22882000</v>
      </c>
      <c r="D28" s="15">
        <f t="shared" si="58"/>
        <v>28004000</v>
      </c>
      <c r="E28" s="15">
        <f t="shared" si="58"/>
        <v>32859000</v>
      </c>
      <c r="F28" s="15">
        <f t="shared" si="58"/>
        <v>36006000</v>
      </c>
      <c r="G28" s="15">
        <f t="shared" si="58"/>
        <v>36006000</v>
      </c>
      <c r="H28" s="15">
        <f t="shared" si="58"/>
        <v>36006000</v>
      </c>
      <c r="I28" s="15">
        <f t="shared" si="58"/>
        <v>39222000</v>
      </c>
      <c r="J28" s="15">
        <f t="shared" si="58"/>
        <v>39222000</v>
      </c>
      <c r="K28" s="15">
        <f t="shared" si="58"/>
        <v>39222000</v>
      </c>
      <c r="L28" s="15">
        <f t="shared" si="58"/>
        <v>39222000</v>
      </c>
      <c r="M28" s="15">
        <f t="shared" si="58"/>
        <v>40105000</v>
      </c>
      <c r="N28" s="15">
        <f t="shared" si="58"/>
        <v>40105000</v>
      </c>
      <c r="O28" s="15">
        <f t="shared" si="58"/>
        <v>41886000</v>
      </c>
      <c r="P28" s="15">
        <f t="shared" si="58"/>
        <v>41886000</v>
      </c>
      <c r="Q28" s="15">
        <f t="shared" si="58"/>
        <v>43719000</v>
      </c>
      <c r="R28" s="15">
        <f t="shared" si="58"/>
        <v>45483000</v>
      </c>
      <c r="S28" s="15">
        <f t="shared" si="58"/>
        <v>47265000</v>
      </c>
      <c r="T28" s="15">
        <f t="shared" si="58"/>
        <v>0</v>
      </c>
      <c r="U28" s="15">
        <f t="shared" si="58"/>
        <v>0</v>
      </c>
      <c r="V28" s="15">
        <f t="shared" si="58"/>
        <v>0</v>
      </c>
      <c r="W28" s="15">
        <f t="shared" si="58"/>
        <v>0</v>
      </c>
      <c r="X28" s="15">
        <f t="shared" si="58"/>
        <v>0</v>
      </c>
      <c r="Y28" s="15">
        <f t="shared" si="58"/>
        <v>0</v>
      </c>
      <c r="Z28" s="15">
        <f t="shared" si="58"/>
        <v>0</v>
      </c>
      <c r="AA28" s="15">
        <f t="shared" si="58"/>
        <v>0</v>
      </c>
      <c r="AB28" s="15">
        <f t="shared" si="58"/>
        <v>0</v>
      </c>
      <c r="AC28" s="15">
        <f t="shared" si="58"/>
        <v>0</v>
      </c>
      <c r="AD28" s="15">
        <f t="shared" si="58"/>
        <v>0</v>
      </c>
      <c r="AE28" s="15">
        <f t="shared" si="58"/>
        <v>0</v>
      </c>
      <c r="AF28" s="15">
        <f t="shared" si="58"/>
        <v>0</v>
      </c>
      <c r="AG28" s="15">
        <f t="shared" si="58"/>
        <v>0</v>
      </c>
      <c r="AH28" s="15">
        <f t="shared" si="58"/>
        <v>0</v>
      </c>
      <c r="AI28" s="15">
        <f t="shared" si="58"/>
        <v>0</v>
      </c>
      <c r="AJ28" s="15">
        <f t="shared" si="58"/>
        <v>0</v>
      </c>
      <c r="AK28" s="15">
        <f t="shared" si="58"/>
        <v>0</v>
      </c>
      <c r="AL28" s="15">
        <f t="shared" si="58"/>
        <v>0</v>
      </c>
      <c r="AM28" s="15">
        <f t="shared" si="58"/>
        <v>0</v>
      </c>
      <c r="AN28" s="29"/>
      <c r="AO28" s="29"/>
      <c r="AP28" s="10">
        <f t="shared" si="42"/>
        <v>21</v>
      </c>
    </row>
    <row r="29" spans="1:42">
      <c r="A29" s="40">
        <f t="shared" si="39"/>
        <v>2042</v>
      </c>
      <c r="B29" s="52">
        <v>13602000</v>
      </c>
      <c r="C29" s="15">
        <f t="shared" ref="C29:AM29" si="59">IF($A29&gt;C$8, B29+C149, 0)</f>
        <v>19303000</v>
      </c>
      <c r="D29" s="15">
        <f t="shared" si="59"/>
        <v>24707000</v>
      </c>
      <c r="E29" s="15">
        <f t="shared" si="59"/>
        <v>29829000</v>
      </c>
      <c r="F29" s="15">
        <f t="shared" si="59"/>
        <v>33149000</v>
      </c>
      <c r="G29" s="15">
        <f t="shared" si="59"/>
        <v>33149000</v>
      </c>
      <c r="H29" s="15">
        <f t="shared" si="59"/>
        <v>33149000</v>
      </c>
      <c r="I29" s="15">
        <f t="shared" si="59"/>
        <v>36542000</v>
      </c>
      <c r="J29" s="15">
        <f t="shared" si="59"/>
        <v>36542000</v>
      </c>
      <c r="K29" s="15">
        <f t="shared" si="59"/>
        <v>36542000</v>
      </c>
      <c r="L29" s="15">
        <f t="shared" si="59"/>
        <v>36542000</v>
      </c>
      <c r="M29" s="15">
        <f t="shared" si="59"/>
        <v>37474000</v>
      </c>
      <c r="N29" s="15">
        <f t="shared" si="59"/>
        <v>37474000</v>
      </c>
      <c r="O29" s="15">
        <f t="shared" si="59"/>
        <v>39353000</v>
      </c>
      <c r="P29" s="15">
        <f t="shared" si="59"/>
        <v>39353000</v>
      </c>
      <c r="Q29" s="15">
        <f t="shared" si="59"/>
        <v>41287000</v>
      </c>
      <c r="R29" s="15">
        <f t="shared" si="59"/>
        <v>43148000</v>
      </c>
      <c r="S29" s="15">
        <f t="shared" si="59"/>
        <v>45028000</v>
      </c>
      <c r="T29" s="15">
        <f t="shared" si="59"/>
        <v>46872000</v>
      </c>
      <c r="U29" s="15">
        <f t="shared" si="59"/>
        <v>0</v>
      </c>
      <c r="V29" s="15">
        <f t="shared" si="59"/>
        <v>0</v>
      </c>
      <c r="W29" s="15">
        <f t="shared" si="59"/>
        <v>0</v>
      </c>
      <c r="X29" s="15">
        <f t="shared" si="59"/>
        <v>0</v>
      </c>
      <c r="Y29" s="15">
        <f t="shared" si="59"/>
        <v>0</v>
      </c>
      <c r="Z29" s="15">
        <f t="shared" si="59"/>
        <v>0</v>
      </c>
      <c r="AA29" s="15">
        <f t="shared" si="59"/>
        <v>0</v>
      </c>
      <c r="AB29" s="15">
        <f t="shared" si="59"/>
        <v>0</v>
      </c>
      <c r="AC29" s="15">
        <f t="shared" si="59"/>
        <v>0</v>
      </c>
      <c r="AD29" s="15">
        <f t="shared" si="59"/>
        <v>0</v>
      </c>
      <c r="AE29" s="15">
        <f t="shared" si="59"/>
        <v>0</v>
      </c>
      <c r="AF29" s="15">
        <f t="shared" si="59"/>
        <v>0</v>
      </c>
      <c r="AG29" s="15">
        <f t="shared" si="59"/>
        <v>0</v>
      </c>
      <c r="AH29" s="15">
        <f t="shared" si="59"/>
        <v>0</v>
      </c>
      <c r="AI29" s="15">
        <f t="shared" si="59"/>
        <v>0</v>
      </c>
      <c r="AJ29" s="15">
        <f t="shared" si="59"/>
        <v>0</v>
      </c>
      <c r="AK29" s="15">
        <f t="shared" si="59"/>
        <v>0</v>
      </c>
      <c r="AL29" s="15">
        <f t="shared" si="59"/>
        <v>0</v>
      </c>
      <c r="AM29" s="15">
        <f t="shared" si="59"/>
        <v>0</v>
      </c>
      <c r="AN29" s="29"/>
      <c r="AO29" s="29"/>
      <c r="AP29" s="10">
        <f t="shared" si="42"/>
        <v>22</v>
      </c>
    </row>
    <row r="30" spans="1:42">
      <c r="A30" s="40">
        <f t="shared" si="39"/>
        <v>2043</v>
      </c>
      <c r="B30" s="52">
        <v>10244000</v>
      </c>
      <c r="C30" s="15">
        <f t="shared" ref="C30:AM30" si="60">IF($A30&gt;C$8, B30+C150, 0)</f>
        <v>16259000</v>
      </c>
      <c r="D30" s="15">
        <f t="shared" si="60"/>
        <v>21960000</v>
      </c>
      <c r="E30" s="15">
        <f t="shared" si="60"/>
        <v>27364000</v>
      </c>
      <c r="F30" s="15">
        <f t="shared" si="60"/>
        <v>30867000</v>
      </c>
      <c r="G30" s="15">
        <f t="shared" si="60"/>
        <v>30867000</v>
      </c>
      <c r="H30" s="15">
        <f t="shared" si="60"/>
        <v>30867000</v>
      </c>
      <c r="I30" s="15">
        <f t="shared" si="60"/>
        <v>34446000</v>
      </c>
      <c r="J30" s="15">
        <f t="shared" si="60"/>
        <v>34446000</v>
      </c>
      <c r="K30" s="15">
        <f t="shared" si="60"/>
        <v>34446000</v>
      </c>
      <c r="L30" s="15">
        <f t="shared" si="60"/>
        <v>34446000</v>
      </c>
      <c r="M30" s="15">
        <f t="shared" si="60"/>
        <v>35429000</v>
      </c>
      <c r="N30" s="15">
        <f t="shared" si="60"/>
        <v>35429000</v>
      </c>
      <c r="O30" s="15">
        <f t="shared" si="60"/>
        <v>37411000</v>
      </c>
      <c r="P30" s="15">
        <f t="shared" si="60"/>
        <v>37411000</v>
      </c>
      <c r="Q30" s="15">
        <f t="shared" si="60"/>
        <v>39452000</v>
      </c>
      <c r="R30" s="15">
        <f t="shared" si="60"/>
        <v>41415000</v>
      </c>
      <c r="S30" s="15">
        <f t="shared" si="60"/>
        <v>43399000</v>
      </c>
      <c r="T30" s="15">
        <f t="shared" si="60"/>
        <v>45344000</v>
      </c>
      <c r="U30" s="15">
        <f t="shared" si="60"/>
        <v>45344000</v>
      </c>
      <c r="V30" s="15">
        <f t="shared" si="60"/>
        <v>0</v>
      </c>
      <c r="W30" s="15">
        <f t="shared" si="60"/>
        <v>0</v>
      </c>
      <c r="X30" s="15">
        <f t="shared" si="60"/>
        <v>0</v>
      </c>
      <c r="Y30" s="15">
        <f t="shared" si="60"/>
        <v>0</v>
      </c>
      <c r="Z30" s="15">
        <f t="shared" si="60"/>
        <v>0</v>
      </c>
      <c r="AA30" s="15">
        <f t="shared" si="60"/>
        <v>0</v>
      </c>
      <c r="AB30" s="15">
        <f t="shared" si="60"/>
        <v>0</v>
      </c>
      <c r="AC30" s="15">
        <f t="shared" si="60"/>
        <v>0</v>
      </c>
      <c r="AD30" s="15">
        <f t="shared" si="60"/>
        <v>0</v>
      </c>
      <c r="AE30" s="15">
        <f t="shared" si="60"/>
        <v>0</v>
      </c>
      <c r="AF30" s="15">
        <f t="shared" si="60"/>
        <v>0</v>
      </c>
      <c r="AG30" s="15">
        <f t="shared" si="60"/>
        <v>0</v>
      </c>
      <c r="AH30" s="15">
        <f t="shared" si="60"/>
        <v>0</v>
      </c>
      <c r="AI30" s="15">
        <f t="shared" si="60"/>
        <v>0</v>
      </c>
      <c r="AJ30" s="15">
        <f t="shared" si="60"/>
        <v>0</v>
      </c>
      <c r="AK30" s="15">
        <f t="shared" si="60"/>
        <v>0</v>
      </c>
      <c r="AL30" s="15">
        <f t="shared" si="60"/>
        <v>0</v>
      </c>
      <c r="AM30" s="15">
        <f t="shared" si="60"/>
        <v>0</v>
      </c>
      <c r="AN30" s="29"/>
      <c r="AO30" s="29"/>
      <c r="AP30" s="10">
        <f t="shared" si="42"/>
        <v>23</v>
      </c>
    </row>
    <row r="31" spans="1:42">
      <c r="A31" s="40">
        <f t="shared" si="39"/>
        <v>2044</v>
      </c>
      <c r="B31" s="52">
        <v>6895000</v>
      </c>
      <c r="C31" s="15">
        <f t="shared" ref="C31:AM31" si="61">IF($A31&gt;C$8, B31+C151, 0)</f>
        <v>13238000</v>
      </c>
      <c r="D31" s="15">
        <f t="shared" si="61"/>
        <v>19253000</v>
      </c>
      <c r="E31" s="15">
        <f t="shared" si="61"/>
        <v>24954000</v>
      </c>
      <c r="F31" s="15">
        <f t="shared" si="61"/>
        <v>28650000</v>
      </c>
      <c r="G31" s="15">
        <f t="shared" si="61"/>
        <v>28650000</v>
      </c>
      <c r="H31" s="15">
        <f t="shared" si="61"/>
        <v>28650000</v>
      </c>
      <c r="I31" s="15">
        <f t="shared" si="61"/>
        <v>32426000</v>
      </c>
      <c r="J31" s="15">
        <f t="shared" si="61"/>
        <v>32426000</v>
      </c>
      <c r="K31" s="15">
        <f t="shared" si="61"/>
        <v>32426000</v>
      </c>
      <c r="L31" s="15">
        <f t="shared" si="61"/>
        <v>32426000</v>
      </c>
      <c r="M31" s="15">
        <f t="shared" si="61"/>
        <v>33463000</v>
      </c>
      <c r="N31" s="15">
        <f t="shared" si="61"/>
        <v>33463000</v>
      </c>
      <c r="O31" s="15">
        <f t="shared" si="61"/>
        <v>35554000</v>
      </c>
      <c r="P31" s="15">
        <f t="shared" si="61"/>
        <v>35554000</v>
      </c>
      <c r="Q31" s="15">
        <f t="shared" si="61"/>
        <v>37707000</v>
      </c>
      <c r="R31" s="15">
        <f t="shared" si="61"/>
        <v>39778000</v>
      </c>
      <c r="S31" s="15">
        <f t="shared" si="61"/>
        <v>41871000</v>
      </c>
      <c r="T31" s="15">
        <f t="shared" si="61"/>
        <v>43923000</v>
      </c>
      <c r="U31" s="15">
        <f t="shared" si="61"/>
        <v>43923000</v>
      </c>
      <c r="V31" s="15">
        <f t="shared" si="61"/>
        <v>46331000</v>
      </c>
      <c r="W31" s="15">
        <f t="shared" si="61"/>
        <v>0</v>
      </c>
      <c r="X31" s="15">
        <f t="shared" si="61"/>
        <v>0</v>
      </c>
      <c r="Y31" s="15">
        <f t="shared" si="61"/>
        <v>0</v>
      </c>
      <c r="Z31" s="15">
        <f t="shared" si="61"/>
        <v>0</v>
      </c>
      <c r="AA31" s="15">
        <f t="shared" si="61"/>
        <v>0</v>
      </c>
      <c r="AB31" s="15">
        <f t="shared" si="61"/>
        <v>0</v>
      </c>
      <c r="AC31" s="15">
        <f t="shared" si="61"/>
        <v>0</v>
      </c>
      <c r="AD31" s="15">
        <f t="shared" si="61"/>
        <v>0</v>
      </c>
      <c r="AE31" s="15">
        <f t="shared" si="61"/>
        <v>0</v>
      </c>
      <c r="AF31" s="15">
        <f t="shared" si="61"/>
        <v>0</v>
      </c>
      <c r="AG31" s="15">
        <f t="shared" si="61"/>
        <v>0</v>
      </c>
      <c r="AH31" s="15">
        <f t="shared" si="61"/>
        <v>0</v>
      </c>
      <c r="AI31" s="15">
        <f t="shared" si="61"/>
        <v>0</v>
      </c>
      <c r="AJ31" s="15">
        <f t="shared" si="61"/>
        <v>0</v>
      </c>
      <c r="AK31" s="15">
        <f t="shared" si="61"/>
        <v>0</v>
      </c>
      <c r="AL31" s="15">
        <f t="shared" si="61"/>
        <v>0</v>
      </c>
      <c r="AM31" s="15">
        <f t="shared" si="61"/>
        <v>0</v>
      </c>
      <c r="AN31" s="29"/>
      <c r="AO31" s="29"/>
      <c r="AP31" s="10">
        <f t="shared" si="42"/>
        <v>24</v>
      </c>
    </row>
    <row r="32" spans="1:42">
      <c r="A32" s="40">
        <f t="shared" si="39"/>
        <v>2045</v>
      </c>
      <c r="B32" s="52">
        <v>6132000</v>
      </c>
      <c r="C32" s="15">
        <f t="shared" ref="C32:AM32" si="62">IF($A32&gt;C$8, B32+C152, 0)</f>
        <v>6132000</v>
      </c>
      <c r="D32" s="15">
        <f t="shared" si="62"/>
        <v>12475000</v>
      </c>
      <c r="E32" s="15">
        <f t="shared" si="62"/>
        <v>18490000</v>
      </c>
      <c r="F32" s="15">
        <f t="shared" si="62"/>
        <v>22389000</v>
      </c>
      <c r="G32" s="15">
        <f t="shared" si="62"/>
        <v>22389000</v>
      </c>
      <c r="H32" s="15">
        <f t="shared" si="62"/>
        <v>22389000</v>
      </c>
      <c r="I32" s="15">
        <f t="shared" si="62"/>
        <v>26373000</v>
      </c>
      <c r="J32" s="15">
        <f t="shared" si="62"/>
        <v>26373000</v>
      </c>
      <c r="K32" s="15">
        <f t="shared" si="62"/>
        <v>26373000</v>
      </c>
      <c r="L32" s="15">
        <f t="shared" si="62"/>
        <v>26373000</v>
      </c>
      <c r="M32" s="15">
        <f t="shared" si="62"/>
        <v>27467000</v>
      </c>
      <c r="N32" s="15">
        <f t="shared" si="62"/>
        <v>27467000</v>
      </c>
      <c r="O32" s="15">
        <f t="shared" si="62"/>
        <v>29673000</v>
      </c>
      <c r="P32" s="15">
        <f t="shared" si="62"/>
        <v>29673000</v>
      </c>
      <c r="Q32" s="15">
        <f t="shared" si="62"/>
        <v>31944000</v>
      </c>
      <c r="R32" s="15">
        <f t="shared" si="62"/>
        <v>34129000</v>
      </c>
      <c r="S32" s="15">
        <f t="shared" si="62"/>
        <v>36337000</v>
      </c>
      <c r="T32" s="15">
        <f t="shared" si="62"/>
        <v>38502000</v>
      </c>
      <c r="U32" s="15">
        <f t="shared" si="62"/>
        <v>38502000</v>
      </c>
      <c r="V32" s="15">
        <f t="shared" si="62"/>
        <v>41030000</v>
      </c>
      <c r="W32" s="15">
        <f t="shared" si="62"/>
        <v>43646000</v>
      </c>
      <c r="X32" s="15">
        <f t="shared" si="62"/>
        <v>0</v>
      </c>
      <c r="Y32" s="15">
        <f t="shared" si="62"/>
        <v>0</v>
      </c>
      <c r="Z32" s="15">
        <f t="shared" si="62"/>
        <v>0</v>
      </c>
      <c r="AA32" s="15">
        <f t="shared" si="62"/>
        <v>0</v>
      </c>
      <c r="AB32" s="15">
        <f t="shared" si="62"/>
        <v>0</v>
      </c>
      <c r="AC32" s="15">
        <f t="shared" si="62"/>
        <v>0</v>
      </c>
      <c r="AD32" s="15">
        <f t="shared" si="62"/>
        <v>0</v>
      </c>
      <c r="AE32" s="15">
        <f t="shared" si="62"/>
        <v>0</v>
      </c>
      <c r="AF32" s="15">
        <f t="shared" si="62"/>
        <v>0</v>
      </c>
      <c r="AG32" s="15">
        <f t="shared" si="62"/>
        <v>0</v>
      </c>
      <c r="AH32" s="15">
        <f t="shared" si="62"/>
        <v>0</v>
      </c>
      <c r="AI32" s="15">
        <f t="shared" si="62"/>
        <v>0</v>
      </c>
      <c r="AJ32" s="15">
        <f t="shared" si="62"/>
        <v>0</v>
      </c>
      <c r="AK32" s="15">
        <f t="shared" si="62"/>
        <v>0</v>
      </c>
      <c r="AL32" s="15">
        <f t="shared" si="62"/>
        <v>0</v>
      </c>
      <c r="AM32" s="15">
        <f t="shared" si="62"/>
        <v>0</v>
      </c>
      <c r="AN32" s="29"/>
      <c r="AO32" s="29"/>
      <c r="AP32" s="10">
        <f t="shared" si="42"/>
        <v>25</v>
      </c>
    </row>
    <row r="33" spans="1:42">
      <c r="A33" s="40">
        <f t="shared" si="39"/>
        <v>2046</v>
      </c>
      <c r="B33" s="52">
        <v>4604000</v>
      </c>
      <c r="C33" s="15">
        <f t="shared" ref="C33:AM33" si="63">IF($A33&gt;C$8, B33+C153, 0)</f>
        <v>4604000</v>
      </c>
      <c r="D33" s="15">
        <f t="shared" si="63"/>
        <v>4604000</v>
      </c>
      <c r="E33" s="15">
        <f t="shared" si="63"/>
        <v>10947000</v>
      </c>
      <c r="F33" s="15">
        <f t="shared" si="63"/>
        <v>15060000</v>
      </c>
      <c r="G33" s="15">
        <f t="shared" si="63"/>
        <v>15060000</v>
      </c>
      <c r="H33" s="15">
        <f t="shared" si="63"/>
        <v>15060000</v>
      </c>
      <c r="I33" s="15">
        <f t="shared" si="63"/>
        <v>19263000</v>
      </c>
      <c r="J33" s="15">
        <f t="shared" si="63"/>
        <v>19263000</v>
      </c>
      <c r="K33" s="15">
        <f t="shared" si="63"/>
        <v>19263000</v>
      </c>
      <c r="L33" s="15">
        <f t="shared" si="63"/>
        <v>19263000</v>
      </c>
      <c r="M33" s="15">
        <f t="shared" si="63"/>
        <v>20417000</v>
      </c>
      <c r="N33" s="15">
        <f t="shared" si="63"/>
        <v>20417000</v>
      </c>
      <c r="O33" s="15">
        <f t="shared" si="63"/>
        <v>22744000</v>
      </c>
      <c r="P33" s="15">
        <f t="shared" si="63"/>
        <v>22744000</v>
      </c>
      <c r="Q33" s="15">
        <f t="shared" si="63"/>
        <v>25140000</v>
      </c>
      <c r="R33" s="15">
        <f t="shared" si="63"/>
        <v>27445000</v>
      </c>
      <c r="S33" s="15">
        <f t="shared" si="63"/>
        <v>29775000</v>
      </c>
      <c r="T33" s="15">
        <f t="shared" si="63"/>
        <v>32059000</v>
      </c>
      <c r="U33" s="15">
        <f t="shared" si="63"/>
        <v>32059000</v>
      </c>
      <c r="V33" s="15">
        <f t="shared" si="63"/>
        <v>34713000</v>
      </c>
      <c r="W33" s="15">
        <f t="shared" si="63"/>
        <v>37460000</v>
      </c>
      <c r="X33" s="15">
        <f t="shared" si="63"/>
        <v>40035000</v>
      </c>
      <c r="Y33" s="15">
        <f t="shared" si="63"/>
        <v>0</v>
      </c>
      <c r="Z33" s="15">
        <f t="shared" si="63"/>
        <v>0</v>
      </c>
      <c r="AA33" s="15">
        <f t="shared" si="63"/>
        <v>0</v>
      </c>
      <c r="AB33" s="15">
        <f t="shared" si="63"/>
        <v>0</v>
      </c>
      <c r="AC33" s="15">
        <f t="shared" si="63"/>
        <v>0</v>
      </c>
      <c r="AD33" s="15">
        <f t="shared" si="63"/>
        <v>0</v>
      </c>
      <c r="AE33" s="15">
        <f t="shared" si="63"/>
        <v>0</v>
      </c>
      <c r="AF33" s="15">
        <f t="shared" si="63"/>
        <v>0</v>
      </c>
      <c r="AG33" s="15">
        <f t="shared" si="63"/>
        <v>0</v>
      </c>
      <c r="AH33" s="15">
        <f t="shared" si="63"/>
        <v>0</v>
      </c>
      <c r="AI33" s="15">
        <f t="shared" si="63"/>
        <v>0</v>
      </c>
      <c r="AJ33" s="15">
        <f t="shared" si="63"/>
        <v>0</v>
      </c>
      <c r="AK33" s="15">
        <f t="shared" si="63"/>
        <v>0</v>
      </c>
      <c r="AL33" s="15">
        <f t="shared" si="63"/>
        <v>0</v>
      </c>
      <c r="AM33" s="15">
        <f t="shared" si="63"/>
        <v>0</v>
      </c>
      <c r="AN33" s="29"/>
      <c r="AO33" s="29"/>
      <c r="AP33" s="10">
        <f t="shared" si="42"/>
        <v>26</v>
      </c>
    </row>
    <row r="34" spans="1:42">
      <c r="A34" s="40">
        <f t="shared" si="39"/>
        <v>2047</v>
      </c>
      <c r="B34" s="52">
        <v>4749000</v>
      </c>
      <c r="C34" s="15">
        <f t="shared" ref="C34:AM34" si="64">IF($A34&gt;C$8, B34+C154, 0)</f>
        <v>4749000</v>
      </c>
      <c r="D34" s="15">
        <f t="shared" si="64"/>
        <v>4749000</v>
      </c>
      <c r="E34" s="15">
        <f t="shared" si="64"/>
        <v>4749000</v>
      </c>
      <c r="F34" s="15">
        <f t="shared" si="64"/>
        <v>9090000</v>
      </c>
      <c r="G34" s="15">
        <f t="shared" si="64"/>
        <v>9090000</v>
      </c>
      <c r="H34" s="15">
        <f t="shared" si="64"/>
        <v>9090000</v>
      </c>
      <c r="I34" s="15">
        <f t="shared" si="64"/>
        <v>13524000</v>
      </c>
      <c r="J34" s="15">
        <f t="shared" si="64"/>
        <v>13524000</v>
      </c>
      <c r="K34" s="15">
        <f t="shared" si="64"/>
        <v>13524000</v>
      </c>
      <c r="L34" s="15">
        <f t="shared" si="64"/>
        <v>13524000</v>
      </c>
      <c r="M34" s="15">
        <f t="shared" si="64"/>
        <v>14742000</v>
      </c>
      <c r="N34" s="15">
        <f t="shared" si="64"/>
        <v>14742000</v>
      </c>
      <c r="O34" s="15">
        <f t="shared" si="64"/>
        <v>17197000</v>
      </c>
      <c r="P34" s="15">
        <f t="shared" si="64"/>
        <v>17197000</v>
      </c>
      <c r="Q34" s="15">
        <f t="shared" si="64"/>
        <v>19725000</v>
      </c>
      <c r="R34" s="15">
        <f t="shared" si="64"/>
        <v>22157000</v>
      </c>
      <c r="S34" s="15">
        <f t="shared" si="64"/>
        <v>24615000</v>
      </c>
      <c r="T34" s="15">
        <f t="shared" si="64"/>
        <v>27025000</v>
      </c>
      <c r="U34" s="15">
        <f t="shared" si="64"/>
        <v>27025000</v>
      </c>
      <c r="V34" s="15">
        <f t="shared" si="64"/>
        <v>29812000</v>
      </c>
      <c r="W34" s="15">
        <f t="shared" si="64"/>
        <v>32696000</v>
      </c>
      <c r="X34" s="15">
        <f t="shared" si="64"/>
        <v>35399000</v>
      </c>
      <c r="Y34" s="15">
        <f t="shared" si="64"/>
        <v>35399000</v>
      </c>
      <c r="Z34" s="15">
        <f t="shared" si="64"/>
        <v>0</v>
      </c>
      <c r="AA34" s="15">
        <f t="shared" si="64"/>
        <v>0</v>
      </c>
      <c r="AB34" s="15">
        <f t="shared" si="64"/>
        <v>0</v>
      </c>
      <c r="AC34" s="15">
        <f t="shared" si="64"/>
        <v>0</v>
      </c>
      <c r="AD34" s="15">
        <f t="shared" si="64"/>
        <v>0</v>
      </c>
      <c r="AE34" s="15">
        <f t="shared" si="64"/>
        <v>0</v>
      </c>
      <c r="AF34" s="15">
        <f t="shared" si="64"/>
        <v>0</v>
      </c>
      <c r="AG34" s="15">
        <f t="shared" si="64"/>
        <v>0</v>
      </c>
      <c r="AH34" s="15">
        <f t="shared" si="64"/>
        <v>0</v>
      </c>
      <c r="AI34" s="15">
        <f t="shared" si="64"/>
        <v>0</v>
      </c>
      <c r="AJ34" s="15">
        <f t="shared" si="64"/>
        <v>0</v>
      </c>
      <c r="AK34" s="15">
        <f t="shared" si="64"/>
        <v>0</v>
      </c>
      <c r="AL34" s="15">
        <f t="shared" si="64"/>
        <v>0</v>
      </c>
      <c r="AM34" s="15">
        <f t="shared" si="64"/>
        <v>0</v>
      </c>
      <c r="AN34" s="29"/>
      <c r="AO34" s="29"/>
      <c r="AP34" s="10">
        <f t="shared" si="42"/>
        <v>27</v>
      </c>
    </row>
    <row r="35" spans="1:42">
      <c r="A35" s="40">
        <f t="shared" si="39"/>
        <v>2048</v>
      </c>
      <c r="B35" s="52">
        <v>1622000</v>
      </c>
      <c r="C35" s="15">
        <f t="shared" ref="C35:AM35" si="65">IF($A35&gt;C$8, B35+C155, 0)</f>
        <v>1622000</v>
      </c>
      <c r="D35" s="15">
        <f t="shared" si="65"/>
        <v>1622000</v>
      </c>
      <c r="E35" s="15">
        <f t="shared" si="65"/>
        <v>1622000</v>
      </c>
      <c r="F35" s="15">
        <f t="shared" si="65"/>
        <v>1622000</v>
      </c>
      <c r="G35" s="15">
        <f t="shared" si="65"/>
        <v>1622000</v>
      </c>
      <c r="H35" s="15">
        <f t="shared" si="65"/>
        <v>1622000</v>
      </c>
      <c r="I35" s="15">
        <f t="shared" si="65"/>
        <v>6300000</v>
      </c>
      <c r="J35" s="15">
        <f t="shared" si="65"/>
        <v>6300000</v>
      </c>
      <c r="K35" s="15">
        <f t="shared" si="65"/>
        <v>6300000</v>
      </c>
      <c r="L35" s="15">
        <f t="shared" si="65"/>
        <v>6300000</v>
      </c>
      <c r="M35" s="15">
        <f t="shared" si="65"/>
        <v>7585000</v>
      </c>
      <c r="N35" s="15">
        <f t="shared" si="65"/>
        <v>7585000</v>
      </c>
      <c r="O35" s="15">
        <f t="shared" si="65"/>
        <v>10175000</v>
      </c>
      <c r="P35" s="15">
        <f t="shared" si="65"/>
        <v>10175000</v>
      </c>
      <c r="Q35" s="15">
        <f t="shared" si="65"/>
        <v>12842000</v>
      </c>
      <c r="R35" s="15">
        <f t="shared" si="65"/>
        <v>15407000</v>
      </c>
      <c r="S35" s="15">
        <f t="shared" si="65"/>
        <v>18000000</v>
      </c>
      <c r="T35" s="15">
        <f t="shared" si="65"/>
        <v>20542000</v>
      </c>
      <c r="U35" s="15">
        <f t="shared" si="65"/>
        <v>20542000</v>
      </c>
      <c r="V35" s="15">
        <f t="shared" si="65"/>
        <v>23468000</v>
      </c>
      <c r="W35" s="15">
        <f t="shared" si="65"/>
        <v>26496000</v>
      </c>
      <c r="X35" s="15">
        <f t="shared" si="65"/>
        <v>29334000</v>
      </c>
      <c r="Y35" s="15">
        <f t="shared" si="65"/>
        <v>29334000</v>
      </c>
      <c r="Z35" s="15">
        <f t="shared" si="65"/>
        <v>29334000</v>
      </c>
      <c r="AA35" s="15">
        <f t="shared" si="65"/>
        <v>0</v>
      </c>
      <c r="AB35" s="15">
        <f t="shared" si="65"/>
        <v>0</v>
      </c>
      <c r="AC35" s="15">
        <f t="shared" si="65"/>
        <v>0</v>
      </c>
      <c r="AD35" s="15">
        <f t="shared" si="65"/>
        <v>0</v>
      </c>
      <c r="AE35" s="15">
        <f t="shared" si="65"/>
        <v>0</v>
      </c>
      <c r="AF35" s="15">
        <f t="shared" si="65"/>
        <v>0</v>
      </c>
      <c r="AG35" s="15">
        <f t="shared" si="65"/>
        <v>0</v>
      </c>
      <c r="AH35" s="15">
        <f t="shared" si="65"/>
        <v>0</v>
      </c>
      <c r="AI35" s="15">
        <f t="shared" si="65"/>
        <v>0</v>
      </c>
      <c r="AJ35" s="15">
        <f t="shared" si="65"/>
        <v>0</v>
      </c>
      <c r="AK35" s="15">
        <f t="shared" si="65"/>
        <v>0</v>
      </c>
      <c r="AL35" s="15">
        <f t="shared" si="65"/>
        <v>0</v>
      </c>
      <c r="AM35" s="15">
        <f t="shared" si="65"/>
        <v>0</v>
      </c>
      <c r="AN35" s="29"/>
      <c r="AO35" s="29"/>
      <c r="AP35" s="10">
        <f t="shared" si="42"/>
        <v>28</v>
      </c>
    </row>
    <row r="36" spans="1:42">
      <c r="A36" s="40">
        <f t="shared" si="39"/>
        <v>2049</v>
      </c>
      <c r="B36" s="52">
        <v>1537000</v>
      </c>
      <c r="C36" s="15">
        <f t="shared" ref="C36:AM36" si="66">IF($A36&gt;C$8, B36+C156, 0)</f>
        <v>1537000</v>
      </c>
      <c r="D36" s="15">
        <f t="shared" si="66"/>
        <v>1537000</v>
      </c>
      <c r="E36" s="15">
        <f t="shared" si="66"/>
        <v>1537000</v>
      </c>
      <c r="F36" s="15">
        <f t="shared" si="66"/>
        <v>1537000</v>
      </c>
      <c r="G36" s="15">
        <f t="shared" si="66"/>
        <v>1537000</v>
      </c>
      <c r="H36" s="15">
        <f t="shared" si="66"/>
        <v>1537000</v>
      </c>
      <c r="I36" s="15">
        <f t="shared" si="66"/>
        <v>6472000</v>
      </c>
      <c r="J36" s="15">
        <f t="shared" si="66"/>
        <v>6472000</v>
      </c>
      <c r="K36" s="15">
        <f t="shared" si="66"/>
        <v>6472000</v>
      </c>
      <c r="L36" s="15">
        <f t="shared" si="66"/>
        <v>6472000</v>
      </c>
      <c r="M36" s="15">
        <f t="shared" si="66"/>
        <v>7827000</v>
      </c>
      <c r="N36" s="15">
        <f t="shared" si="66"/>
        <v>7827000</v>
      </c>
      <c r="O36" s="15">
        <f t="shared" si="66"/>
        <v>10560000</v>
      </c>
      <c r="P36" s="15">
        <f t="shared" si="66"/>
        <v>10560000</v>
      </c>
      <c r="Q36" s="15">
        <f t="shared" si="66"/>
        <v>13374000</v>
      </c>
      <c r="R36" s="15">
        <f t="shared" si="66"/>
        <v>16080000</v>
      </c>
      <c r="S36" s="15">
        <f t="shared" si="66"/>
        <v>18816000</v>
      </c>
      <c r="T36" s="15">
        <f t="shared" si="66"/>
        <v>21498000</v>
      </c>
      <c r="U36" s="15">
        <f t="shared" si="66"/>
        <v>21498000</v>
      </c>
      <c r="V36" s="15">
        <f t="shared" si="66"/>
        <v>24571000</v>
      </c>
      <c r="W36" s="15">
        <f t="shared" si="66"/>
        <v>27751000</v>
      </c>
      <c r="X36" s="15">
        <f t="shared" si="66"/>
        <v>30731000</v>
      </c>
      <c r="Y36" s="15">
        <f t="shared" si="66"/>
        <v>30731000</v>
      </c>
      <c r="Z36" s="15">
        <f t="shared" si="66"/>
        <v>30731000</v>
      </c>
      <c r="AA36" s="15">
        <f t="shared" si="66"/>
        <v>30731000</v>
      </c>
      <c r="AB36" s="15">
        <f t="shared" si="66"/>
        <v>0</v>
      </c>
      <c r="AC36" s="15">
        <f t="shared" si="66"/>
        <v>0</v>
      </c>
      <c r="AD36" s="15">
        <f t="shared" si="66"/>
        <v>0</v>
      </c>
      <c r="AE36" s="15">
        <f t="shared" si="66"/>
        <v>0</v>
      </c>
      <c r="AF36" s="15">
        <f t="shared" si="66"/>
        <v>0</v>
      </c>
      <c r="AG36" s="15">
        <f t="shared" si="66"/>
        <v>0</v>
      </c>
      <c r="AH36" s="15">
        <f t="shared" si="66"/>
        <v>0</v>
      </c>
      <c r="AI36" s="15">
        <f t="shared" si="66"/>
        <v>0</v>
      </c>
      <c r="AJ36" s="15">
        <f t="shared" si="66"/>
        <v>0</v>
      </c>
      <c r="AK36" s="15">
        <f t="shared" si="66"/>
        <v>0</v>
      </c>
      <c r="AL36" s="15">
        <f t="shared" si="66"/>
        <v>0</v>
      </c>
      <c r="AM36" s="15">
        <f t="shared" si="66"/>
        <v>0</v>
      </c>
      <c r="AN36" s="29"/>
      <c r="AO36" s="29"/>
      <c r="AP36" s="10">
        <f t="shared" si="42"/>
        <v>29</v>
      </c>
    </row>
    <row r="37" spans="1:42">
      <c r="A37" s="40">
        <f t="shared" si="39"/>
        <v>2050</v>
      </c>
      <c r="B37" s="52">
        <v>1460000</v>
      </c>
      <c r="C37" s="15">
        <f t="shared" ref="C37:AM37" si="67">IF($A37&gt;C$8, B37+C157, 0)</f>
        <v>1460000</v>
      </c>
      <c r="D37" s="15">
        <f t="shared" si="67"/>
        <v>1460000</v>
      </c>
      <c r="E37" s="15">
        <f t="shared" si="67"/>
        <v>1460000</v>
      </c>
      <c r="F37" s="15">
        <f t="shared" si="67"/>
        <v>1460000</v>
      </c>
      <c r="G37" s="15">
        <f t="shared" si="67"/>
        <v>1460000</v>
      </c>
      <c r="H37" s="15">
        <f t="shared" si="67"/>
        <v>1460000</v>
      </c>
      <c r="I37" s="15">
        <f t="shared" si="67"/>
        <v>6667000</v>
      </c>
      <c r="J37" s="15">
        <f t="shared" si="67"/>
        <v>6667000</v>
      </c>
      <c r="K37" s="15">
        <f t="shared" si="67"/>
        <v>6667000</v>
      </c>
      <c r="L37" s="15">
        <f t="shared" si="67"/>
        <v>6667000</v>
      </c>
      <c r="M37" s="15">
        <f t="shared" si="67"/>
        <v>8097000</v>
      </c>
      <c r="N37" s="15">
        <f t="shared" si="67"/>
        <v>8097000</v>
      </c>
      <c r="O37" s="15">
        <f t="shared" si="67"/>
        <v>10980000</v>
      </c>
      <c r="P37" s="15">
        <f t="shared" si="67"/>
        <v>10980000</v>
      </c>
      <c r="Q37" s="15">
        <f t="shared" si="67"/>
        <v>13948000</v>
      </c>
      <c r="R37" s="15">
        <f t="shared" si="67"/>
        <v>16803000</v>
      </c>
      <c r="S37" s="15">
        <f t="shared" si="67"/>
        <v>19689000</v>
      </c>
      <c r="T37" s="15">
        <f t="shared" si="67"/>
        <v>22519000</v>
      </c>
      <c r="U37" s="15">
        <f t="shared" si="67"/>
        <v>22519000</v>
      </c>
      <c r="V37" s="15">
        <f t="shared" si="67"/>
        <v>25745000</v>
      </c>
      <c r="W37" s="15">
        <f t="shared" si="67"/>
        <v>29084000</v>
      </c>
      <c r="X37" s="15">
        <f t="shared" si="67"/>
        <v>32213000</v>
      </c>
      <c r="Y37" s="15">
        <f t="shared" si="67"/>
        <v>32213000</v>
      </c>
      <c r="Z37" s="15">
        <f t="shared" si="67"/>
        <v>32213000</v>
      </c>
      <c r="AA37" s="15">
        <f t="shared" si="67"/>
        <v>32213000</v>
      </c>
      <c r="AB37" s="15">
        <f t="shared" si="67"/>
        <v>36354000</v>
      </c>
      <c r="AC37" s="15">
        <f t="shared" si="67"/>
        <v>0</v>
      </c>
      <c r="AD37" s="15">
        <f t="shared" si="67"/>
        <v>0</v>
      </c>
      <c r="AE37" s="15">
        <f t="shared" si="67"/>
        <v>0</v>
      </c>
      <c r="AF37" s="15">
        <f t="shared" si="67"/>
        <v>0</v>
      </c>
      <c r="AG37" s="15">
        <f t="shared" si="67"/>
        <v>0</v>
      </c>
      <c r="AH37" s="15">
        <f t="shared" si="67"/>
        <v>0</v>
      </c>
      <c r="AI37" s="15">
        <f t="shared" si="67"/>
        <v>0</v>
      </c>
      <c r="AJ37" s="15">
        <f t="shared" si="67"/>
        <v>0</v>
      </c>
      <c r="AK37" s="15">
        <f t="shared" si="67"/>
        <v>0</v>
      </c>
      <c r="AL37" s="15">
        <f t="shared" si="67"/>
        <v>0</v>
      </c>
      <c r="AM37" s="15">
        <f t="shared" si="67"/>
        <v>0</v>
      </c>
      <c r="AN37" s="29"/>
      <c r="AO37" s="29"/>
      <c r="AP37" s="10">
        <f t="shared" si="42"/>
        <v>30</v>
      </c>
    </row>
    <row r="38" spans="1:42">
      <c r="A38" s="40">
        <f t="shared" si="39"/>
        <v>2051</v>
      </c>
      <c r="B38" s="52">
        <v>1020000</v>
      </c>
      <c r="C38" s="15">
        <f t="shared" ref="C38:AM38" si="68">IF($A38&gt;C$8, B38+C158, 0)</f>
        <v>1020000</v>
      </c>
      <c r="D38" s="15">
        <f t="shared" si="68"/>
        <v>1020000</v>
      </c>
      <c r="E38" s="15">
        <f t="shared" si="68"/>
        <v>1020000</v>
      </c>
      <c r="F38" s="15">
        <f t="shared" si="68"/>
        <v>1020000</v>
      </c>
      <c r="G38" s="15">
        <f t="shared" si="68"/>
        <v>1020000</v>
      </c>
      <c r="H38" s="15">
        <f t="shared" si="68"/>
        <v>1020000</v>
      </c>
      <c r="I38" s="15">
        <f t="shared" si="68"/>
        <v>1020000</v>
      </c>
      <c r="J38" s="15">
        <f t="shared" si="68"/>
        <v>1020000</v>
      </c>
      <c r="K38" s="15">
        <f t="shared" si="68"/>
        <v>1020000</v>
      </c>
      <c r="L38" s="15">
        <f t="shared" si="68"/>
        <v>1020000</v>
      </c>
      <c r="M38" s="15">
        <f t="shared" si="68"/>
        <v>2529000</v>
      </c>
      <c r="N38" s="15">
        <f t="shared" si="68"/>
        <v>2529000</v>
      </c>
      <c r="O38" s="15">
        <f t="shared" si="68"/>
        <v>5571000</v>
      </c>
      <c r="P38" s="15">
        <f t="shared" si="68"/>
        <v>5571000</v>
      </c>
      <c r="Q38" s="15">
        <f t="shared" si="68"/>
        <v>8703000</v>
      </c>
      <c r="R38" s="15">
        <f t="shared" si="68"/>
        <v>11715000</v>
      </c>
      <c r="S38" s="15">
        <f t="shared" si="68"/>
        <v>14760000</v>
      </c>
      <c r="T38" s="15">
        <f t="shared" si="68"/>
        <v>17745000</v>
      </c>
      <c r="U38" s="15">
        <f t="shared" si="68"/>
        <v>17745000</v>
      </c>
      <c r="V38" s="15">
        <f t="shared" si="68"/>
        <v>21133000</v>
      </c>
      <c r="W38" s="15">
        <f t="shared" si="68"/>
        <v>24639000</v>
      </c>
      <c r="X38" s="15">
        <f t="shared" si="68"/>
        <v>27925000</v>
      </c>
      <c r="Y38" s="15">
        <f t="shared" si="68"/>
        <v>27925000</v>
      </c>
      <c r="Z38" s="15">
        <f t="shared" si="68"/>
        <v>27925000</v>
      </c>
      <c r="AA38" s="15">
        <f t="shared" si="68"/>
        <v>27925000</v>
      </c>
      <c r="AB38" s="15">
        <f t="shared" si="68"/>
        <v>32253000</v>
      </c>
      <c r="AC38" s="15">
        <f t="shared" si="68"/>
        <v>36023000</v>
      </c>
      <c r="AD38" s="15">
        <f t="shared" si="68"/>
        <v>0</v>
      </c>
      <c r="AE38" s="15">
        <f t="shared" si="68"/>
        <v>0</v>
      </c>
      <c r="AF38" s="15">
        <f t="shared" si="68"/>
        <v>0</v>
      </c>
      <c r="AG38" s="15">
        <f t="shared" si="68"/>
        <v>0</v>
      </c>
      <c r="AH38" s="15">
        <f t="shared" si="68"/>
        <v>0</v>
      </c>
      <c r="AI38" s="15">
        <f t="shared" si="68"/>
        <v>0</v>
      </c>
      <c r="AJ38" s="15">
        <f t="shared" si="68"/>
        <v>0</v>
      </c>
      <c r="AK38" s="15">
        <f t="shared" si="68"/>
        <v>0</v>
      </c>
      <c r="AL38" s="15">
        <f t="shared" si="68"/>
        <v>0</v>
      </c>
      <c r="AM38" s="15">
        <f t="shared" si="68"/>
        <v>0</v>
      </c>
      <c r="AN38" s="29"/>
      <c r="AO38" s="29"/>
      <c r="AP38" s="10">
        <f t="shared" si="42"/>
        <v>31</v>
      </c>
    </row>
    <row r="39" spans="1:42">
      <c r="A39" s="40">
        <f t="shared" si="39"/>
        <v>2052</v>
      </c>
      <c r="B39" s="52">
        <v>395000</v>
      </c>
      <c r="C39" s="15">
        <f t="shared" ref="C39:AM39" si="69">IF($A39&gt;C$8, B39+C159, 0)</f>
        <v>395000</v>
      </c>
      <c r="D39" s="15">
        <f t="shared" si="69"/>
        <v>395000</v>
      </c>
      <c r="E39" s="15">
        <f t="shared" si="69"/>
        <v>395000</v>
      </c>
      <c r="F39" s="15">
        <f t="shared" si="69"/>
        <v>395000</v>
      </c>
      <c r="G39" s="15">
        <f t="shared" si="69"/>
        <v>395000</v>
      </c>
      <c r="H39" s="15">
        <f t="shared" si="69"/>
        <v>395000</v>
      </c>
      <c r="I39" s="15">
        <f t="shared" si="69"/>
        <v>395000</v>
      </c>
      <c r="J39" s="15">
        <f t="shared" si="69"/>
        <v>395000</v>
      </c>
      <c r="K39" s="15">
        <f t="shared" si="69"/>
        <v>395000</v>
      </c>
      <c r="L39" s="15">
        <f t="shared" si="69"/>
        <v>395000</v>
      </c>
      <c r="M39" s="15">
        <f t="shared" si="69"/>
        <v>1987000</v>
      </c>
      <c r="N39" s="15">
        <f t="shared" si="69"/>
        <v>1987000</v>
      </c>
      <c r="O39" s="15">
        <f t="shared" si="69"/>
        <v>5196000</v>
      </c>
      <c r="P39" s="15">
        <f t="shared" si="69"/>
        <v>5196000</v>
      </c>
      <c r="Q39" s="15">
        <f t="shared" si="69"/>
        <v>8500000</v>
      </c>
      <c r="R39" s="15">
        <f t="shared" si="69"/>
        <v>11678000</v>
      </c>
      <c r="S39" s="15">
        <f t="shared" si="69"/>
        <v>14890000</v>
      </c>
      <c r="T39" s="15">
        <f t="shared" si="69"/>
        <v>18040000</v>
      </c>
      <c r="U39" s="15">
        <f t="shared" si="69"/>
        <v>18040000</v>
      </c>
      <c r="V39" s="15">
        <f t="shared" si="69"/>
        <v>21597000</v>
      </c>
      <c r="W39" s="15">
        <f t="shared" si="69"/>
        <v>25278000</v>
      </c>
      <c r="X39" s="15">
        <f t="shared" si="69"/>
        <v>28728000</v>
      </c>
      <c r="Y39" s="15">
        <f t="shared" si="69"/>
        <v>28728000</v>
      </c>
      <c r="Z39" s="15">
        <f t="shared" si="69"/>
        <v>28728000</v>
      </c>
      <c r="AA39" s="15">
        <f t="shared" si="69"/>
        <v>28728000</v>
      </c>
      <c r="AB39" s="15">
        <f t="shared" si="69"/>
        <v>33250000</v>
      </c>
      <c r="AC39" s="15">
        <f t="shared" si="69"/>
        <v>37190000</v>
      </c>
      <c r="AD39" s="15">
        <f t="shared" si="69"/>
        <v>37190000</v>
      </c>
      <c r="AE39" s="15">
        <f t="shared" si="69"/>
        <v>0</v>
      </c>
      <c r="AF39" s="15">
        <f t="shared" si="69"/>
        <v>0</v>
      </c>
      <c r="AG39" s="15">
        <f t="shared" si="69"/>
        <v>0</v>
      </c>
      <c r="AH39" s="15">
        <f t="shared" si="69"/>
        <v>0</v>
      </c>
      <c r="AI39" s="15">
        <f t="shared" si="69"/>
        <v>0</v>
      </c>
      <c r="AJ39" s="15">
        <f t="shared" si="69"/>
        <v>0</v>
      </c>
      <c r="AK39" s="15">
        <f t="shared" si="69"/>
        <v>0</v>
      </c>
      <c r="AL39" s="15">
        <f t="shared" si="69"/>
        <v>0</v>
      </c>
      <c r="AM39" s="15">
        <f t="shared" si="69"/>
        <v>0</v>
      </c>
      <c r="AN39" s="29"/>
      <c r="AO39" s="29"/>
      <c r="AP39" s="10">
        <f t="shared" si="42"/>
        <v>32</v>
      </c>
    </row>
    <row r="40" spans="1:42">
      <c r="A40" s="40">
        <f t="shared" si="39"/>
        <v>2053</v>
      </c>
      <c r="B40" s="52">
        <v>0</v>
      </c>
      <c r="C40" s="15">
        <f t="shared" ref="C40:AM40" si="70">IF($A40&gt;C$8, B40+C160, 0)</f>
        <v>0</v>
      </c>
      <c r="D40" s="15">
        <f t="shared" si="70"/>
        <v>0</v>
      </c>
      <c r="E40" s="15">
        <f t="shared" si="70"/>
        <v>0</v>
      </c>
      <c r="F40" s="15">
        <f t="shared" si="70"/>
        <v>0</v>
      </c>
      <c r="G40" s="15">
        <f t="shared" si="70"/>
        <v>0</v>
      </c>
      <c r="H40" s="15">
        <f t="shared" si="70"/>
        <v>0</v>
      </c>
      <c r="I40" s="15">
        <f t="shared" si="70"/>
        <v>0</v>
      </c>
      <c r="J40" s="15">
        <f t="shared" si="70"/>
        <v>0</v>
      </c>
      <c r="K40" s="15">
        <f t="shared" si="70"/>
        <v>0</v>
      </c>
      <c r="L40" s="15">
        <f t="shared" si="70"/>
        <v>0</v>
      </c>
      <c r="M40" s="15">
        <f t="shared" si="70"/>
        <v>1679000</v>
      </c>
      <c r="N40" s="15">
        <f t="shared" si="70"/>
        <v>1679000</v>
      </c>
      <c r="O40" s="15">
        <f t="shared" si="70"/>
        <v>5064000</v>
      </c>
      <c r="P40" s="15">
        <f t="shared" si="70"/>
        <v>5064000</v>
      </c>
      <c r="Q40" s="15">
        <f t="shared" si="70"/>
        <v>8550000</v>
      </c>
      <c r="R40" s="15">
        <f t="shared" si="70"/>
        <v>11903000</v>
      </c>
      <c r="S40" s="15">
        <f t="shared" si="70"/>
        <v>15292000</v>
      </c>
      <c r="T40" s="15">
        <f t="shared" si="70"/>
        <v>18615000</v>
      </c>
      <c r="U40" s="15">
        <f t="shared" si="70"/>
        <v>18615000</v>
      </c>
      <c r="V40" s="15">
        <f t="shared" si="70"/>
        <v>22350000</v>
      </c>
      <c r="W40" s="15">
        <f t="shared" si="70"/>
        <v>26215000</v>
      </c>
      <c r="X40" s="15">
        <f t="shared" si="70"/>
        <v>29838000</v>
      </c>
      <c r="Y40" s="15">
        <f t="shared" si="70"/>
        <v>29838000</v>
      </c>
      <c r="Z40" s="15">
        <f t="shared" si="70"/>
        <v>29838000</v>
      </c>
      <c r="AA40" s="15">
        <f t="shared" si="70"/>
        <v>29838000</v>
      </c>
      <c r="AB40" s="15">
        <f t="shared" si="70"/>
        <v>34564000</v>
      </c>
      <c r="AC40" s="15">
        <f t="shared" si="70"/>
        <v>38681000</v>
      </c>
      <c r="AD40" s="15">
        <f t="shared" si="70"/>
        <v>38681000</v>
      </c>
      <c r="AE40" s="15">
        <f t="shared" si="70"/>
        <v>38681000</v>
      </c>
      <c r="AF40" s="15">
        <f t="shared" si="70"/>
        <v>0</v>
      </c>
      <c r="AG40" s="15">
        <f t="shared" si="70"/>
        <v>0</v>
      </c>
      <c r="AH40" s="15">
        <f t="shared" si="70"/>
        <v>0</v>
      </c>
      <c r="AI40" s="15">
        <f t="shared" si="70"/>
        <v>0</v>
      </c>
      <c r="AJ40" s="15">
        <f t="shared" si="70"/>
        <v>0</v>
      </c>
      <c r="AK40" s="15">
        <f t="shared" si="70"/>
        <v>0</v>
      </c>
      <c r="AL40" s="15">
        <f t="shared" si="70"/>
        <v>0</v>
      </c>
      <c r="AM40" s="15">
        <f t="shared" si="70"/>
        <v>0</v>
      </c>
      <c r="AN40" s="29"/>
      <c r="AO40" s="29"/>
      <c r="AP40" s="10">
        <f t="shared" si="42"/>
        <v>33</v>
      </c>
    </row>
    <row r="41" spans="1:42">
      <c r="A41" s="40">
        <f t="shared" si="39"/>
        <v>2054</v>
      </c>
      <c r="B41" s="52">
        <v>0</v>
      </c>
      <c r="C41" s="15">
        <f t="shared" ref="C41:AM41" si="71">IF($A41&gt;C$8, B41+C161, 0)</f>
        <v>0</v>
      </c>
      <c r="D41" s="15">
        <f t="shared" si="71"/>
        <v>0</v>
      </c>
      <c r="E41" s="15">
        <f t="shared" si="71"/>
        <v>0</v>
      </c>
      <c r="F41" s="15">
        <f t="shared" si="71"/>
        <v>0</v>
      </c>
      <c r="G41" s="15">
        <f t="shared" si="71"/>
        <v>0</v>
      </c>
      <c r="H41" s="15">
        <f t="shared" si="71"/>
        <v>0</v>
      </c>
      <c r="I41" s="15">
        <f t="shared" si="71"/>
        <v>0</v>
      </c>
      <c r="J41" s="15">
        <f t="shared" si="71"/>
        <v>0</v>
      </c>
      <c r="K41" s="15">
        <f t="shared" si="71"/>
        <v>0</v>
      </c>
      <c r="L41" s="15">
        <f t="shared" si="71"/>
        <v>0</v>
      </c>
      <c r="M41" s="15">
        <f t="shared" si="71"/>
        <v>1771000</v>
      </c>
      <c r="N41" s="15">
        <f t="shared" si="71"/>
        <v>1771000</v>
      </c>
      <c r="O41" s="15">
        <f t="shared" si="71"/>
        <v>5343000</v>
      </c>
      <c r="P41" s="15">
        <f t="shared" si="71"/>
        <v>5343000</v>
      </c>
      <c r="Q41" s="15">
        <f t="shared" si="71"/>
        <v>9020000</v>
      </c>
      <c r="R41" s="15">
        <f t="shared" si="71"/>
        <v>12557000</v>
      </c>
      <c r="S41" s="15">
        <f t="shared" si="71"/>
        <v>16132000</v>
      </c>
      <c r="T41" s="15">
        <f t="shared" si="71"/>
        <v>19638000</v>
      </c>
      <c r="U41" s="15">
        <f t="shared" si="71"/>
        <v>19638000</v>
      </c>
      <c r="V41" s="15">
        <f t="shared" si="71"/>
        <v>23560000</v>
      </c>
      <c r="W41" s="15">
        <f t="shared" si="71"/>
        <v>27618000</v>
      </c>
      <c r="X41" s="15">
        <f t="shared" si="71"/>
        <v>31422000</v>
      </c>
      <c r="Y41" s="15">
        <f t="shared" si="71"/>
        <v>31422000</v>
      </c>
      <c r="Z41" s="15">
        <f t="shared" si="71"/>
        <v>31422000</v>
      </c>
      <c r="AA41" s="15">
        <f t="shared" si="71"/>
        <v>31422000</v>
      </c>
      <c r="AB41" s="15">
        <f t="shared" si="71"/>
        <v>36361000</v>
      </c>
      <c r="AC41" s="15">
        <f t="shared" si="71"/>
        <v>40664000</v>
      </c>
      <c r="AD41" s="15">
        <f t="shared" si="71"/>
        <v>40664000</v>
      </c>
      <c r="AE41" s="15">
        <f t="shared" si="71"/>
        <v>40664000</v>
      </c>
      <c r="AF41" s="15">
        <f t="shared" si="71"/>
        <v>40664000</v>
      </c>
      <c r="AG41" s="15">
        <f t="shared" si="71"/>
        <v>0</v>
      </c>
      <c r="AH41" s="15">
        <f t="shared" si="71"/>
        <v>0</v>
      </c>
      <c r="AI41" s="15">
        <f t="shared" si="71"/>
        <v>0</v>
      </c>
      <c r="AJ41" s="15">
        <f t="shared" si="71"/>
        <v>0</v>
      </c>
      <c r="AK41" s="15">
        <f t="shared" si="71"/>
        <v>0</v>
      </c>
      <c r="AL41" s="15">
        <f t="shared" si="71"/>
        <v>0</v>
      </c>
      <c r="AM41" s="15">
        <f t="shared" si="71"/>
        <v>0</v>
      </c>
      <c r="AN41" s="29"/>
      <c r="AO41" s="29"/>
      <c r="AP41" s="10">
        <f t="shared" si="42"/>
        <v>34</v>
      </c>
    </row>
    <row r="42" spans="1:42">
      <c r="A42" s="40">
        <f t="shared" si="39"/>
        <v>2055</v>
      </c>
      <c r="B42" s="52">
        <v>0</v>
      </c>
      <c r="C42" s="15">
        <f t="shared" ref="C42:AM42" si="72">IF($A42&gt;C$8, B42+C162, 0)</f>
        <v>0</v>
      </c>
      <c r="D42" s="15">
        <f t="shared" si="72"/>
        <v>0</v>
      </c>
      <c r="E42" s="15">
        <f t="shared" si="72"/>
        <v>0</v>
      </c>
      <c r="F42" s="15">
        <f t="shared" si="72"/>
        <v>0</v>
      </c>
      <c r="G42" s="15">
        <f t="shared" si="72"/>
        <v>0</v>
      </c>
      <c r="H42" s="15">
        <f t="shared" si="72"/>
        <v>0</v>
      </c>
      <c r="I42" s="15">
        <f t="shared" si="72"/>
        <v>0</v>
      </c>
      <c r="J42" s="15">
        <f t="shared" si="72"/>
        <v>0</v>
      </c>
      <c r="K42" s="15">
        <f t="shared" si="72"/>
        <v>0</v>
      </c>
      <c r="L42" s="15">
        <f t="shared" si="72"/>
        <v>0</v>
      </c>
      <c r="M42" s="15">
        <f t="shared" si="72"/>
        <v>0</v>
      </c>
      <c r="N42" s="15">
        <f t="shared" si="72"/>
        <v>0</v>
      </c>
      <c r="O42" s="15">
        <f t="shared" si="72"/>
        <v>3768000</v>
      </c>
      <c r="P42" s="15">
        <f t="shared" si="72"/>
        <v>3768000</v>
      </c>
      <c r="Q42" s="15">
        <f t="shared" si="72"/>
        <v>7648000</v>
      </c>
      <c r="R42" s="15">
        <f t="shared" si="72"/>
        <v>11380000</v>
      </c>
      <c r="S42" s="15">
        <f t="shared" si="72"/>
        <v>15152000</v>
      </c>
      <c r="T42" s="15">
        <f t="shared" si="72"/>
        <v>18850000</v>
      </c>
      <c r="U42" s="15">
        <f t="shared" si="72"/>
        <v>18850000</v>
      </c>
      <c r="V42" s="15">
        <f t="shared" si="72"/>
        <v>22968000</v>
      </c>
      <c r="W42" s="15">
        <f t="shared" si="72"/>
        <v>27229000</v>
      </c>
      <c r="X42" s="15">
        <f t="shared" si="72"/>
        <v>31223000</v>
      </c>
      <c r="Y42" s="15">
        <f t="shared" si="72"/>
        <v>31223000</v>
      </c>
      <c r="Z42" s="15">
        <f t="shared" si="72"/>
        <v>31223000</v>
      </c>
      <c r="AA42" s="15">
        <f t="shared" si="72"/>
        <v>31223000</v>
      </c>
      <c r="AB42" s="15">
        <f t="shared" si="72"/>
        <v>36384000</v>
      </c>
      <c r="AC42" s="15">
        <f t="shared" si="72"/>
        <v>40880000</v>
      </c>
      <c r="AD42" s="15">
        <f t="shared" si="72"/>
        <v>40880000</v>
      </c>
      <c r="AE42" s="15">
        <f t="shared" si="72"/>
        <v>40880000</v>
      </c>
      <c r="AF42" s="15">
        <f t="shared" si="72"/>
        <v>40880000</v>
      </c>
      <c r="AG42" s="15">
        <f t="shared" si="72"/>
        <v>40880000</v>
      </c>
      <c r="AH42" s="15">
        <f t="shared" si="72"/>
        <v>0</v>
      </c>
      <c r="AI42" s="15">
        <f t="shared" si="72"/>
        <v>0</v>
      </c>
      <c r="AJ42" s="15">
        <f t="shared" si="72"/>
        <v>0</v>
      </c>
      <c r="AK42" s="15">
        <f t="shared" si="72"/>
        <v>0</v>
      </c>
      <c r="AL42" s="15">
        <f t="shared" si="72"/>
        <v>0</v>
      </c>
      <c r="AM42" s="15">
        <f t="shared" si="72"/>
        <v>0</v>
      </c>
      <c r="AN42" s="29"/>
      <c r="AO42" s="29"/>
      <c r="AP42" s="10">
        <f t="shared" si="42"/>
        <v>35</v>
      </c>
    </row>
    <row r="43" spans="1:42">
      <c r="A43" s="40">
        <f t="shared" si="39"/>
        <v>2056</v>
      </c>
      <c r="B43" s="52">
        <v>0</v>
      </c>
      <c r="C43" s="15">
        <f t="shared" ref="C43:AM43" si="73">IF($A43&gt;C$8, B43+C163, 0)</f>
        <v>0</v>
      </c>
      <c r="D43" s="15">
        <f t="shared" si="73"/>
        <v>0</v>
      </c>
      <c r="E43" s="15">
        <f t="shared" si="73"/>
        <v>0</v>
      </c>
      <c r="F43" s="15">
        <f t="shared" si="73"/>
        <v>0</v>
      </c>
      <c r="G43" s="15">
        <f t="shared" si="73"/>
        <v>0</v>
      </c>
      <c r="H43" s="15">
        <f t="shared" si="73"/>
        <v>0</v>
      </c>
      <c r="I43" s="15">
        <f t="shared" si="73"/>
        <v>0</v>
      </c>
      <c r="J43" s="15">
        <f t="shared" si="73"/>
        <v>0</v>
      </c>
      <c r="K43" s="15">
        <f t="shared" si="73"/>
        <v>0</v>
      </c>
      <c r="L43" s="15">
        <f t="shared" si="73"/>
        <v>0</v>
      </c>
      <c r="M43" s="15">
        <f t="shared" si="73"/>
        <v>0</v>
      </c>
      <c r="N43" s="15">
        <f t="shared" si="73"/>
        <v>0</v>
      </c>
      <c r="O43" s="15">
        <f t="shared" si="73"/>
        <v>3976000</v>
      </c>
      <c r="P43" s="15">
        <f t="shared" si="73"/>
        <v>3976000</v>
      </c>
      <c r="Q43" s="15">
        <f t="shared" si="73"/>
        <v>8069000</v>
      </c>
      <c r="R43" s="15">
        <f t="shared" si="73"/>
        <v>12006000</v>
      </c>
      <c r="S43" s="15">
        <f t="shared" si="73"/>
        <v>15985000</v>
      </c>
      <c r="T43" s="15">
        <f t="shared" si="73"/>
        <v>19887000</v>
      </c>
      <c r="U43" s="15">
        <f t="shared" si="73"/>
        <v>19887000</v>
      </c>
      <c r="V43" s="15">
        <f t="shared" si="73"/>
        <v>24211000</v>
      </c>
      <c r="W43" s="15">
        <f t="shared" si="73"/>
        <v>28685000</v>
      </c>
      <c r="X43" s="15">
        <f t="shared" si="73"/>
        <v>32879000</v>
      </c>
      <c r="Y43" s="15">
        <f t="shared" si="73"/>
        <v>32879000</v>
      </c>
      <c r="Z43" s="15">
        <f t="shared" si="73"/>
        <v>32879000</v>
      </c>
      <c r="AA43" s="15">
        <f t="shared" si="73"/>
        <v>32879000</v>
      </c>
      <c r="AB43" s="15">
        <f t="shared" si="73"/>
        <v>38272000</v>
      </c>
      <c r="AC43" s="15">
        <f t="shared" si="73"/>
        <v>42971000</v>
      </c>
      <c r="AD43" s="15">
        <f t="shared" si="73"/>
        <v>42971000</v>
      </c>
      <c r="AE43" s="15">
        <f t="shared" si="73"/>
        <v>42971000</v>
      </c>
      <c r="AF43" s="15">
        <f t="shared" si="73"/>
        <v>42971000</v>
      </c>
      <c r="AG43" s="15">
        <f t="shared" si="73"/>
        <v>42971000</v>
      </c>
      <c r="AH43" s="15">
        <f t="shared" si="73"/>
        <v>42971000</v>
      </c>
      <c r="AI43" s="15">
        <f t="shared" si="73"/>
        <v>0</v>
      </c>
      <c r="AJ43" s="15">
        <f t="shared" si="73"/>
        <v>0</v>
      </c>
      <c r="AK43" s="15">
        <f t="shared" si="73"/>
        <v>0</v>
      </c>
      <c r="AL43" s="15">
        <f t="shared" si="73"/>
        <v>0</v>
      </c>
      <c r="AM43" s="15">
        <f t="shared" si="73"/>
        <v>0</v>
      </c>
      <c r="AN43" s="29"/>
      <c r="AO43" s="29"/>
      <c r="AP43" s="10">
        <f t="shared" si="42"/>
        <v>36</v>
      </c>
    </row>
    <row r="44" spans="1:42">
      <c r="A44" s="40">
        <f t="shared" si="39"/>
        <v>2057</v>
      </c>
      <c r="B44" s="52">
        <v>0</v>
      </c>
      <c r="C44" s="15">
        <f t="shared" ref="C44:AM44" si="74">IF($A44&gt;C$8, B44+C164, 0)</f>
        <v>0</v>
      </c>
      <c r="D44" s="15">
        <f t="shared" si="74"/>
        <v>0</v>
      </c>
      <c r="E44" s="15">
        <f t="shared" si="74"/>
        <v>0</v>
      </c>
      <c r="F44" s="15">
        <f t="shared" si="74"/>
        <v>0</v>
      </c>
      <c r="G44" s="15">
        <f t="shared" si="74"/>
        <v>0</v>
      </c>
      <c r="H44" s="15">
        <f t="shared" si="74"/>
        <v>0</v>
      </c>
      <c r="I44" s="15">
        <f t="shared" si="74"/>
        <v>0</v>
      </c>
      <c r="J44" s="15">
        <f t="shared" si="74"/>
        <v>0</v>
      </c>
      <c r="K44" s="15">
        <f t="shared" si="74"/>
        <v>0</v>
      </c>
      <c r="L44" s="15">
        <f t="shared" si="74"/>
        <v>0</v>
      </c>
      <c r="M44" s="15">
        <f t="shared" si="74"/>
        <v>0</v>
      </c>
      <c r="N44" s="15">
        <f t="shared" si="74"/>
        <v>0</v>
      </c>
      <c r="O44" s="15">
        <f t="shared" si="74"/>
        <v>0</v>
      </c>
      <c r="P44" s="15">
        <f t="shared" si="74"/>
        <v>0</v>
      </c>
      <c r="Q44" s="15">
        <f t="shared" si="74"/>
        <v>4318000</v>
      </c>
      <c r="R44" s="15">
        <f t="shared" si="74"/>
        <v>8470000</v>
      </c>
      <c r="S44" s="15">
        <f t="shared" si="74"/>
        <v>12668000</v>
      </c>
      <c r="T44" s="15">
        <f t="shared" si="74"/>
        <v>16785000</v>
      </c>
      <c r="U44" s="15">
        <f t="shared" si="74"/>
        <v>16785000</v>
      </c>
      <c r="V44" s="15">
        <f t="shared" si="74"/>
        <v>21324000</v>
      </c>
      <c r="W44" s="15">
        <f t="shared" si="74"/>
        <v>26020000</v>
      </c>
      <c r="X44" s="15">
        <f t="shared" si="74"/>
        <v>30424000</v>
      </c>
      <c r="Y44" s="15">
        <f t="shared" si="74"/>
        <v>30424000</v>
      </c>
      <c r="Z44" s="15">
        <f t="shared" si="74"/>
        <v>30424000</v>
      </c>
      <c r="AA44" s="15">
        <f t="shared" si="74"/>
        <v>30424000</v>
      </c>
      <c r="AB44" s="15">
        <f t="shared" si="74"/>
        <v>36059000</v>
      </c>
      <c r="AC44" s="15">
        <f t="shared" si="74"/>
        <v>40969000</v>
      </c>
      <c r="AD44" s="15">
        <f t="shared" si="74"/>
        <v>40969000</v>
      </c>
      <c r="AE44" s="15">
        <f t="shared" si="74"/>
        <v>40969000</v>
      </c>
      <c r="AF44" s="15">
        <f t="shared" si="74"/>
        <v>40969000</v>
      </c>
      <c r="AG44" s="15">
        <f t="shared" si="74"/>
        <v>40969000</v>
      </c>
      <c r="AH44" s="15">
        <f t="shared" si="74"/>
        <v>40969000</v>
      </c>
      <c r="AI44" s="15">
        <f t="shared" si="74"/>
        <v>40969000</v>
      </c>
      <c r="AJ44" s="15">
        <f t="shared" si="74"/>
        <v>0</v>
      </c>
      <c r="AK44" s="15">
        <f t="shared" si="74"/>
        <v>0</v>
      </c>
      <c r="AL44" s="15">
        <f t="shared" si="74"/>
        <v>0</v>
      </c>
      <c r="AM44" s="15">
        <f t="shared" si="74"/>
        <v>0</v>
      </c>
      <c r="AN44" s="29"/>
      <c r="AO44" s="29"/>
      <c r="AP44" s="10">
        <f t="shared" si="42"/>
        <v>37</v>
      </c>
    </row>
    <row r="45" spans="1:42">
      <c r="A45" s="40">
        <f t="shared" si="39"/>
        <v>2058</v>
      </c>
      <c r="B45" s="52">
        <v>0</v>
      </c>
      <c r="C45" s="15">
        <f t="shared" ref="C45:AM45" si="75">IF($A45&gt;C$8, B45+C165, 0)</f>
        <v>0</v>
      </c>
      <c r="D45" s="15">
        <f t="shared" si="75"/>
        <v>0</v>
      </c>
      <c r="E45" s="15">
        <f t="shared" si="75"/>
        <v>0</v>
      </c>
      <c r="F45" s="15">
        <f t="shared" si="75"/>
        <v>0</v>
      </c>
      <c r="G45" s="15">
        <f t="shared" si="75"/>
        <v>0</v>
      </c>
      <c r="H45" s="15">
        <f t="shared" si="75"/>
        <v>0</v>
      </c>
      <c r="I45" s="15">
        <f t="shared" si="75"/>
        <v>0</v>
      </c>
      <c r="J45" s="15">
        <f t="shared" si="75"/>
        <v>0</v>
      </c>
      <c r="K45" s="15">
        <f t="shared" si="75"/>
        <v>0</v>
      </c>
      <c r="L45" s="15">
        <f t="shared" si="75"/>
        <v>0</v>
      </c>
      <c r="M45" s="15">
        <f t="shared" si="75"/>
        <v>0</v>
      </c>
      <c r="N45" s="15">
        <f t="shared" si="75"/>
        <v>0</v>
      </c>
      <c r="O45" s="15">
        <f t="shared" si="75"/>
        <v>0</v>
      </c>
      <c r="P45" s="15">
        <f t="shared" si="75"/>
        <v>0</v>
      </c>
      <c r="Q45" s="15">
        <f t="shared" si="75"/>
        <v>0</v>
      </c>
      <c r="R45" s="15">
        <f t="shared" si="75"/>
        <v>0</v>
      </c>
      <c r="S45" s="15">
        <f t="shared" si="75"/>
        <v>0</v>
      </c>
      <c r="T45" s="15">
        <f t="shared" si="75"/>
        <v>0</v>
      </c>
      <c r="U45" s="15">
        <f t="shared" si="75"/>
        <v>0</v>
      </c>
      <c r="V45" s="15">
        <f t="shared" si="75"/>
        <v>0</v>
      </c>
      <c r="W45" s="15">
        <f t="shared" si="75"/>
        <v>0</v>
      </c>
      <c r="X45" s="15">
        <f t="shared" si="75"/>
        <v>0</v>
      </c>
      <c r="Y45" s="15">
        <f t="shared" si="75"/>
        <v>0</v>
      </c>
      <c r="Z45" s="15">
        <f t="shared" si="75"/>
        <v>0</v>
      </c>
      <c r="AA45" s="15">
        <f t="shared" si="75"/>
        <v>0</v>
      </c>
      <c r="AB45" s="15">
        <f t="shared" si="75"/>
        <v>0</v>
      </c>
      <c r="AC45" s="15">
        <f t="shared" si="75"/>
        <v>0</v>
      </c>
      <c r="AD45" s="15">
        <f t="shared" si="75"/>
        <v>0</v>
      </c>
      <c r="AE45" s="15">
        <f t="shared" si="75"/>
        <v>0</v>
      </c>
      <c r="AF45" s="15">
        <f t="shared" si="75"/>
        <v>0</v>
      </c>
      <c r="AG45" s="15">
        <f t="shared" si="75"/>
        <v>0</v>
      </c>
      <c r="AH45" s="15">
        <f t="shared" si="75"/>
        <v>0</v>
      </c>
      <c r="AI45" s="15">
        <f t="shared" si="75"/>
        <v>0</v>
      </c>
      <c r="AJ45" s="15">
        <f t="shared" si="75"/>
        <v>0</v>
      </c>
      <c r="AK45" s="15">
        <f t="shared" si="75"/>
        <v>0</v>
      </c>
      <c r="AL45" s="15">
        <f t="shared" si="75"/>
        <v>0</v>
      </c>
      <c r="AM45" s="15">
        <f t="shared" si="75"/>
        <v>0</v>
      </c>
      <c r="AN45" s="29"/>
      <c r="AO45" s="29"/>
      <c r="AP45" s="10">
        <f t="shared" si="42"/>
        <v>38</v>
      </c>
    </row>
    <row r="46" spans="1:42">
      <c r="A46" s="40">
        <f t="shared" si="39"/>
        <v>2059</v>
      </c>
      <c r="B46" s="52">
        <v>0</v>
      </c>
      <c r="C46" s="15">
        <f t="shared" ref="C46:AM46" si="76">IF($A46&gt;C$8, B46+C166, 0)</f>
        <v>0</v>
      </c>
      <c r="D46" s="15">
        <f t="shared" si="76"/>
        <v>0</v>
      </c>
      <c r="E46" s="15">
        <f t="shared" si="76"/>
        <v>0</v>
      </c>
      <c r="F46" s="15">
        <f t="shared" si="76"/>
        <v>0</v>
      </c>
      <c r="G46" s="15">
        <f t="shared" si="76"/>
        <v>0</v>
      </c>
      <c r="H46" s="15">
        <f t="shared" si="76"/>
        <v>0</v>
      </c>
      <c r="I46" s="15">
        <f t="shared" si="76"/>
        <v>0</v>
      </c>
      <c r="J46" s="15">
        <f t="shared" si="76"/>
        <v>0</v>
      </c>
      <c r="K46" s="15">
        <f t="shared" si="76"/>
        <v>0</v>
      </c>
      <c r="L46" s="15">
        <f t="shared" si="76"/>
        <v>0</v>
      </c>
      <c r="M46" s="15">
        <f t="shared" si="76"/>
        <v>0</v>
      </c>
      <c r="N46" s="15">
        <f t="shared" si="76"/>
        <v>0</v>
      </c>
      <c r="O46" s="15">
        <f t="shared" si="76"/>
        <v>0</v>
      </c>
      <c r="P46" s="15">
        <f t="shared" si="76"/>
        <v>0</v>
      </c>
      <c r="Q46" s="15">
        <f t="shared" si="76"/>
        <v>0</v>
      </c>
      <c r="R46" s="15">
        <f t="shared" si="76"/>
        <v>0</v>
      </c>
      <c r="S46" s="15">
        <f t="shared" si="76"/>
        <v>0</v>
      </c>
      <c r="T46" s="15">
        <f t="shared" si="76"/>
        <v>0</v>
      </c>
      <c r="U46" s="15">
        <f t="shared" si="76"/>
        <v>0</v>
      </c>
      <c r="V46" s="15">
        <f t="shared" si="76"/>
        <v>0</v>
      </c>
      <c r="W46" s="15">
        <f t="shared" si="76"/>
        <v>0</v>
      </c>
      <c r="X46" s="15">
        <f t="shared" si="76"/>
        <v>0</v>
      </c>
      <c r="Y46" s="15">
        <f t="shared" si="76"/>
        <v>0</v>
      </c>
      <c r="Z46" s="15">
        <f t="shared" si="76"/>
        <v>0</v>
      </c>
      <c r="AA46" s="15">
        <f t="shared" si="76"/>
        <v>0</v>
      </c>
      <c r="AB46" s="15">
        <f t="shared" si="76"/>
        <v>0</v>
      </c>
      <c r="AC46" s="15">
        <f t="shared" si="76"/>
        <v>0</v>
      </c>
      <c r="AD46" s="15">
        <f t="shared" si="76"/>
        <v>0</v>
      </c>
      <c r="AE46" s="15">
        <f t="shared" si="76"/>
        <v>0</v>
      </c>
      <c r="AF46" s="15">
        <f t="shared" si="76"/>
        <v>0</v>
      </c>
      <c r="AG46" s="15">
        <f t="shared" si="76"/>
        <v>0</v>
      </c>
      <c r="AH46" s="15">
        <f t="shared" si="76"/>
        <v>0</v>
      </c>
      <c r="AI46" s="15">
        <f t="shared" si="76"/>
        <v>0</v>
      </c>
      <c r="AJ46" s="15">
        <f t="shared" si="76"/>
        <v>0</v>
      </c>
      <c r="AK46" s="15">
        <f t="shared" si="76"/>
        <v>0</v>
      </c>
      <c r="AL46" s="15">
        <f t="shared" si="76"/>
        <v>0</v>
      </c>
      <c r="AM46" s="15">
        <f t="shared" si="76"/>
        <v>0</v>
      </c>
      <c r="AN46" s="29"/>
      <c r="AO46" s="29"/>
      <c r="AP46" s="10">
        <f t="shared" si="42"/>
        <v>39</v>
      </c>
    </row>
    <row r="47" spans="1:42">
      <c r="A47" s="40">
        <f t="shared" si="39"/>
        <v>2060</v>
      </c>
      <c r="B47" s="52">
        <v>0</v>
      </c>
      <c r="C47" s="15">
        <f t="shared" ref="C47:AM47" si="77">IF($A47&gt;C$8, B47+C167, 0)</f>
        <v>0</v>
      </c>
      <c r="D47" s="15">
        <f t="shared" si="77"/>
        <v>0</v>
      </c>
      <c r="E47" s="15">
        <f t="shared" si="77"/>
        <v>0</v>
      </c>
      <c r="F47" s="15">
        <f t="shared" si="77"/>
        <v>0</v>
      </c>
      <c r="G47" s="15">
        <f t="shared" si="77"/>
        <v>0</v>
      </c>
      <c r="H47" s="15">
        <f t="shared" si="77"/>
        <v>0</v>
      </c>
      <c r="I47" s="15">
        <f t="shared" si="77"/>
        <v>0</v>
      </c>
      <c r="J47" s="15">
        <f t="shared" si="77"/>
        <v>0</v>
      </c>
      <c r="K47" s="15">
        <f t="shared" si="77"/>
        <v>0</v>
      </c>
      <c r="L47" s="15">
        <f t="shared" si="77"/>
        <v>0</v>
      </c>
      <c r="M47" s="15">
        <f t="shared" si="77"/>
        <v>0</v>
      </c>
      <c r="N47" s="15">
        <f t="shared" si="77"/>
        <v>0</v>
      </c>
      <c r="O47" s="15">
        <f t="shared" si="77"/>
        <v>0</v>
      </c>
      <c r="P47" s="15">
        <f t="shared" si="77"/>
        <v>0</v>
      </c>
      <c r="Q47" s="15">
        <f t="shared" si="77"/>
        <v>0</v>
      </c>
      <c r="R47" s="15">
        <f t="shared" si="77"/>
        <v>0</v>
      </c>
      <c r="S47" s="15">
        <f t="shared" si="77"/>
        <v>0</v>
      </c>
      <c r="T47" s="15">
        <f t="shared" si="77"/>
        <v>0</v>
      </c>
      <c r="U47" s="15">
        <f t="shared" si="77"/>
        <v>0</v>
      </c>
      <c r="V47" s="15">
        <f t="shared" si="77"/>
        <v>0</v>
      </c>
      <c r="W47" s="15">
        <f t="shared" si="77"/>
        <v>0</v>
      </c>
      <c r="X47" s="15">
        <f t="shared" si="77"/>
        <v>0</v>
      </c>
      <c r="Y47" s="15">
        <f t="shared" si="77"/>
        <v>0</v>
      </c>
      <c r="Z47" s="15">
        <f t="shared" si="77"/>
        <v>0</v>
      </c>
      <c r="AA47" s="15">
        <f t="shared" si="77"/>
        <v>0</v>
      </c>
      <c r="AB47" s="15">
        <f t="shared" si="77"/>
        <v>0</v>
      </c>
      <c r="AC47" s="15">
        <f t="shared" si="77"/>
        <v>0</v>
      </c>
      <c r="AD47" s="15">
        <f t="shared" si="77"/>
        <v>0</v>
      </c>
      <c r="AE47" s="15">
        <f t="shared" si="77"/>
        <v>0</v>
      </c>
      <c r="AF47" s="15">
        <f t="shared" si="77"/>
        <v>0</v>
      </c>
      <c r="AG47" s="15">
        <f t="shared" si="77"/>
        <v>0</v>
      </c>
      <c r="AH47" s="15">
        <f t="shared" si="77"/>
        <v>0</v>
      </c>
      <c r="AI47" s="15">
        <f t="shared" si="77"/>
        <v>0</v>
      </c>
      <c r="AJ47" s="15">
        <f t="shared" si="77"/>
        <v>0</v>
      </c>
      <c r="AK47" s="15">
        <f t="shared" si="77"/>
        <v>0</v>
      </c>
      <c r="AL47" s="15">
        <f t="shared" si="77"/>
        <v>0</v>
      </c>
      <c r="AM47" s="15">
        <f t="shared" si="77"/>
        <v>0</v>
      </c>
      <c r="AN47" s="29"/>
      <c r="AO47" s="29"/>
      <c r="AP47" s="10">
        <f t="shared" si="42"/>
        <v>40</v>
      </c>
    </row>
    <row r="48" spans="1:42">
      <c r="A48" s="40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29"/>
      <c r="AO48" s="29"/>
      <c r="AP48" s="10">
        <f t="shared" si="42"/>
        <v>41</v>
      </c>
    </row>
    <row r="49" spans="1:42" ht="16">
      <c r="A49" s="49" t="s">
        <v>7</v>
      </c>
      <c r="B49" s="50">
        <f t="shared" ref="B49:AM49" si="78">SUM(B10:B48)</f>
        <v>975138300</v>
      </c>
      <c r="C49" s="50">
        <f t="shared" si="78"/>
        <v>958899600</v>
      </c>
      <c r="D49" s="50">
        <f t="shared" si="78"/>
        <v>940708700</v>
      </c>
      <c r="E49" s="50">
        <f t="shared" si="78"/>
        <v>929770600</v>
      </c>
      <c r="F49" s="50">
        <f t="shared" si="78"/>
        <v>893709300</v>
      </c>
      <c r="G49" s="50">
        <f t="shared" si="78"/>
        <v>808768700</v>
      </c>
      <c r="H49" s="50">
        <f t="shared" si="78"/>
        <v>743016000</v>
      </c>
      <c r="I49" s="50">
        <f t="shared" si="78"/>
        <v>741554000</v>
      </c>
      <c r="J49" s="50">
        <f t="shared" si="78"/>
        <v>678771000</v>
      </c>
      <c r="K49" s="50">
        <f t="shared" si="78"/>
        <v>618332000</v>
      </c>
      <c r="L49" s="50">
        <f t="shared" si="78"/>
        <v>563221000</v>
      </c>
      <c r="M49" s="50">
        <f t="shared" si="78"/>
        <v>533400000</v>
      </c>
      <c r="N49" s="50">
        <f t="shared" si="78"/>
        <v>480058000</v>
      </c>
      <c r="O49" s="50">
        <f t="shared" si="78"/>
        <v>479983000</v>
      </c>
      <c r="P49" s="50">
        <f t="shared" si="78"/>
        <v>428238000</v>
      </c>
      <c r="Q49" s="50">
        <f t="shared" si="78"/>
        <v>429674000</v>
      </c>
      <c r="R49" s="50">
        <f t="shared" si="78"/>
        <v>429676000</v>
      </c>
      <c r="S49" s="50">
        <f t="shared" si="78"/>
        <v>429674000</v>
      </c>
      <c r="T49" s="50">
        <f t="shared" si="78"/>
        <v>427844000</v>
      </c>
      <c r="U49" s="50">
        <f t="shared" si="78"/>
        <v>380972000</v>
      </c>
      <c r="V49" s="50">
        <f t="shared" si="78"/>
        <v>382813000</v>
      </c>
      <c r="W49" s="50">
        <f t="shared" si="78"/>
        <v>382817000</v>
      </c>
      <c r="X49" s="50">
        <f t="shared" si="78"/>
        <v>380151000</v>
      </c>
      <c r="Y49" s="50">
        <f t="shared" si="78"/>
        <v>340116000</v>
      </c>
      <c r="Z49" s="50">
        <f t="shared" si="78"/>
        <v>304717000</v>
      </c>
      <c r="AA49" s="50">
        <f t="shared" si="78"/>
        <v>275383000</v>
      </c>
      <c r="AB49" s="50">
        <f t="shared" si="78"/>
        <v>283497000</v>
      </c>
      <c r="AC49" s="50">
        <f t="shared" si="78"/>
        <v>277378000</v>
      </c>
      <c r="AD49" s="50">
        <f t="shared" si="78"/>
        <v>241355000</v>
      </c>
      <c r="AE49" s="50">
        <f t="shared" si="78"/>
        <v>204165000</v>
      </c>
      <c r="AF49" s="50">
        <f t="shared" si="78"/>
        <v>165484000</v>
      </c>
      <c r="AG49" s="50">
        <f t="shared" si="78"/>
        <v>124820000</v>
      </c>
      <c r="AH49" s="50">
        <f t="shared" si="78"/>
        <v>83940000</v>
      </c>
      <c r="AI49" s="50">
        <f t="shared" si="78"/>
        <v>40969000</v>
      </c>
      <c r="AJ49" s="50">
        <f t="shared" si="78"/>
        <v>0</v>
      </c>
      <c r="AK49" s="50">
        <f t="shared" si="78"/>
        <v>0</v>
      </c>
      <c r="AL49" s="50">
        <f t="shared" si="78"/>
        <v>0</v>
      </c>
      <c r="AM49" s="50">
        <f t="shared" si="78"/>
        <v>0</v>
      </c>
      <c r="AN49" s="29"/>
      <c r="AO49" s="29"/>
      <c r="AP49" s="10">
        <f t="shared" si="42"/>
        <v>42</v>
      </c>
    </row>
    <row r="50" spans="1:42">
      <c r="A50" s="4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P50" s="10">
        <f t="shared" si="42"/>
        <v>43</v>
      </c>
    </row>
    <row r="51" spans="1:42">
      <c r="A51" s="49" t="s">
        <v>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P51" s="10">
        <f t="shared" si="42"/>
        <v>44</v>
      </c>
    </row>
    <row r="52" spans="1:42">
      <c r="A52" s="40" t="s">
        <v>28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P52" s="10">
        <f t="shared" si="42"/>
        <v>45</v>
      </c>
    </row>
    <row r="53" spans="1:42">
      <c r="A53" s="49" t="s">
        <v>8</v>
      </c>
      <c r="B53" s="115">
        <v>1121085250</v>
      </c>
      <c r="C53" s="116">
        <f t="shared" ref="C53:AM53" si="79">B53-C109+C59</f>
        <v>1073077250</v>
      </c>
      <c r="D53" s="116">
        <f t="shared" si="79"/>
        <v>1073077250</v>
      </c>
      <c r="E53" s="116">
        <f t="shared" si="79"/>
        <v>1073077250</v>
      </c>
      <c r="F53" s="116">
        <f t="shared" si="79"/>
        <v>1057943750</v>
      </c>
      <c r="G53" s="116">
        <f t="shared" si="79"/>
        <v>860362250</v>
      </c>
      <c r="H53" s="116">
        <f t="shared" si="79"/>
        <v>796242250</v>
      </c>
      <c r="I53" s="116">
        <f t="shared" si="79"/>
        <v>791552250</v>
      </c>
      <c r="J53" s="116">
        <f t="shared" si="79"/>
        <v>791552250</v>
      </c>
      <c r="K53" s="116">
        <f t="shared" si="79"/>
        <v>679052250</v>
      </c>
      <c r="L53" s="116">
        <f t="shared" si="79"/>
        <v>622259495.47968519</v>
      </c>
      <c r="M53" s="116">
        <f t="shared" si="79"/>
        <v>583401004.52031481</v>
      </c>
      <c r="N53" s="116">
        <f t="shared" si="79"/>
        <v>536047250</v>
      </c>
      <c r="O53" s="116">
        <f t="shared" si="79"/>
        <v>536047250</v>
      </c>
      <c r="P53" s="116">
        <f t="shared" si="79"/>
        <v>479675250</v>
      </c>
      <c r="Q53" s="116">
        <f t="shared" si="79"/>
        <v>479675250</v>
      </c>
      <c r="R53" s="116">
        <f t="shared" si="79"/>
        <v>479675250</v>
      </c>
      <c r="S53" s="116">
        <f t="shared" si="79"/>
        <v>479675250</v>
      </c>
      <c r="T53" s="116">
        <f t="shared" si="79"/>
        <v>479675250</v>
      </c>
      <c r="U53" s="116">
        <f t="shared" si="79"/>
        <v>432815250</v>
      </c>
      <c r="V53" s="116">
        <f t="shared" si="79"/>
        <v>432815250</v>
      </c>
      <c r="W53" s="116">
        <f t="shared" si="79"/>
        <v>432815250</v>
      </c>
      <c r="X53" s="116">
        <f t="shared" si="79"/>
        <v>432815250</v>
      </c>
      <c r="Y53" s="116">
        <f t="shared" si="79"/>
        <v>432815250</v>
      </c>
      <c r="Z53" s="116">
        <f t="shared" si="79"/>
        <v>432815250</v>
      </c>
      <c r="AA53" s="116">
        <f t="shared" si="79"/>
        <v>333497250</v>
      </c>
      <c r="AB53" s="116">
        <f t="shared" si="79"/>
        <v>333497250</v>
      </c>
      <c r="AC53" s="116">
        <f t="shared" si="79"/>
        <v>333497250</v>
      </c>
      <c r="AD53" s="116">
        <f t="shared" si="79"/>
        <v>333497250</v>
      </c>
      <c r="AE53" s="116">
        <f t="shared" si="79"/>
        <v>261876250</v>
      </c>
      <c r="AF53" s="116">
        <f t="shared" si="79"/>
        <v>261876250</v>
      </c>
      <c r="AG53" s="116">
        <f t="shared" si="79"/>
        <v>261876250</v>
      </c>
      <c r="AH53" s="116">
        <f t="shared" si="79"/>
        <v>190304250</v>
      </c>
      <c r="AI53" s="116">
        <f t="shared" si="79"/>
        <v>190304250</v>
      </c>
      <c r="AJ53" s="116">
        <f t="shared" si="79"/>
        <v>46728250</v>
      </c>
      <c r="AK53" s="116">
        <f t="shared" si="79"/>
        <v>46728250</v>
      </c>
      <c r="AL53" s="116">
        <f t="shared" si="79"/>
        <v>46728250</v>
      </c>
      <c r="AM53" s="116">
        <f t="shared" si="79"/>
        <v>46728250</v>
      </c>
      <c r="AP53" s="10">
        <f t="shared" si="42"/>
        <v>46</v>
      </c>
    </row>
    <row r="54" spans="1:42">
      <c r="A54" s="49"/>
      <c r="B54" s="15"/>
      <c r="C54" s="15"/>
      <c r="D54" s="15"/>
      <c r="E54" s="15"/>
      <c r="F54" s="4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42">
      <c r="A55" s="49"/>
      <c r="B55" s="15"/>
      <c r="C55" s="15"/>
      <c r="D55" s="15"/>
      <c r="E55" s="15"/>
      <c r="F55" s="4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42">
      <c r="A56" s="49"/>
      <c r="B56" s="45"/>
      <c r="C56" s="45">
        <f t="shared" ref="C56:AM56" si="80">C8</f>
        <v>2024</v>
      </c>
      <c r="D56" s="45">
        <f t="shared" si="80"/>
        <v>2025</v>
      </c>
      <c r="E56" s="45">
        <f t="shared" si="80"/>
        <v>2026</v>
      </c>
      <c r="F56" s="45">
        <f t="shared" si="80"/>
        <v>2027</v>
      </c>
      <c r="G56" s="45">
        <f t="shared" si="80"/>
        <v>2028</v>
      </c>
      <c r="H56" s="45">
        <f t="shared" si="80"/>
        <v>2029</v>
      </c>
      <c r="I56" s="45">
        <f t="shared" si="80"/>
        <v>2030</v>
      </c>
      <c r="J56" s="45">
        <f t="shared" si="80"/>
        <v>2031</v>
      </c>
      <c r="K56" s="45">
        <f t="shared" si="80"/>
        <v>2032</v>
      </c>
      <c r="L56" s="45">
        <f t="shared" si="80"/>
        <v>2033</v>
      </c>
      <c r="M56" s="45">
        <f t="shared" si="80"/>
        <v>2034</v>
      </c>
      <c r="N56" s="45">
        <f t="shared" si="80"/>
        <v>2035</v>
      </c>
      <c r="O56" s="45">
        <f t="shared" si="80"/>
        <v>2036</v>
      </c>
      <c r="P56" s="45">
        <f t="shared" si="80"/>
        <v>2037</v>
      </c>
      <c r="Q56" s="45">
        <f t="shared" si="80"/>
        <v>2038</v>
      </c>
      <c r="R56" s="45">
        <f t="shared" si="80"/>
        <v>2039</v>
      </c>
      <c r="S56" s="45">
        <f t="shared" si="80"/>
        <v>2040</v>
      </c>
      <c r="T56" s="45">
        <f t="shared" si="80"/>
        <v>2041</v>
      </c>
      <c r="U56" s="45">
        <f t="shared" si="80"/>
        <v>2042</v>
      </c>
      <c r="V56" s="45">
        <f t="shared" si="80"/>
        <v>2043</v>
      </c>
      <c r="W56" s="45">
        <f t="shared" si="80"/>
        <v>2044</v>
      </c>
      <c r="X56" s="45">
        <f t="shared" si="80"/>
        <v>2045</v>
      </c>
      <c r="Y56" s="45">
        <f t="shared" si="80"/>
        <v>2046</v>
      </c>
      <c r="Z56" s="45">
        <f t="shared" si="80"/>
        <v>2047</v>
      </c>
      <c r="AA56" s="45">
        <f t="shared" si="80"/>
        <v>2048</v>
      </c>
      <c r="AB56" s="45">
        <f t="shared" si="80"/>
        <v>2049</v>
      </c>
      <c r="AC56" s="45">
        <f t="shared" si="80"/>
        <v>2050</v>
      </c>
      <c r="AD56" s="45">
        <f t="shared" si="80"/>
        <v>2051</v>
      </c>
      <c r="AE56" s="45">
        <f t="shared" si="80"/>
        <v>2052</v>
      </c>
      <c r="AF56" s="45">
        <f t="shared" si="80"/>
        <v>2053</v>
      </c>
      <c r="AG56" s="45">
        <f t="shared" si="80"/>
        <v>2054</v>
      </c>
      <c r="AH56" s="45">
        <f t="shared" si="80"/>
        <v>2055</v>
      </c>
      <c r="AI56" s="45">
        <f t="shared" si="80"/>
        <v>2056</v>
      </c>
      <c r="AJ56" s="45">
        <f t="shared" si="80"/>
        <v>2057</v>
      </c>
      <c r="AK56" s="45">
        <f t="shared" si="80"/>
        <v>2058</v>
      </c>
      <c r="AL56" s="45">
        <f t="shared" si="80"/>
        <v>2059</v>
      </c>
      <c r="AM56" s="45">
        <f t="shared" si="80"/>
        <v>2060</v>
      </c>
      <c r="AP56" s="10">
        <v>1</v>
      </c>
    </row>
    <row r="57" spans="1:42">
      <c r="A57" s="49" t="s">
        <v>29</v>
      </c>
      <c r="B57" s="67"/>
      <c r="C57" s="52">
        <v>145946950</v>
      </c>
      <c r="D57" s="15">
        <f t="shared" ref="D57:AL57" si="81">C172</f>
        <v>114177650</v>
      </c>
      <c r="E57" s="15">
        <f t="shared" si="81"/>
        <v>132368550</v>
      </c>
      <c r="F57" s="46">
        <f t="shared" si="81"/>
        <v>143306650</v>
      </c>
      <c r="G57" s="15">
        <f t="shared" si="81"/>
        <v>164234450</v>
      </c>
      <c r="H57" s="15">
        <f t="shared" si="81"/>
        <v>51593550</v>
      </c>
      <c r="I57" s="15">
        <f t="shared" si="81"/>
        <v>53226250</v>
      </c>
      <c r="J57" s="15">
        <f t="shared" si="81"/>
        <v>49998250</v>
      </c>
      <c r="K57" s="15">
        <f t="shared" si="81"/>
        <v>112781250</v>
      </c>
      <c r="L57" s="15">
        <f t="shared" si="81"/>
        <v>60720250</v>
      </c>
      <c r="M57" s="15">
        <f t="shared" si="81"/>
        <v>59038495.479685172</v>
      </c>
      <c r="N57" s="15">
        <f t="shared" si="81"/>
        <v>50001004.520314828</v>
      </c>
      <c r="O57" s="15">
        <f t="shared" si="81"/>
        <v>55989250</v>
      </c>
      <c r="P57" s="15">
        <f t="shared" si="81"/>
        <v>56064250</v>
      </c>
      <c r="Q57" s="15">
        <f t="shared" si="81"/>
        <v>51437250</v>
      </c>
      <c r="R57" s="15">
        <f t="shared" si="81"/>
        <v>50001250</v>
      </c>
      <c r="S57" s="15">
        <f t="shared" si="81"/>
        <v>49999250</v>
      </c>
      <c r="T57" s="15">
        <f t="shared" si="81"/>
        <v>50001250</v>
      </c>
      <c r="U57" s="15">
        <f t="shared" si="81"/>
        <v>51831250</v>
      </c>
      <c r="V57" s="15">
        <f t="shared" si="81"/>
        <v>51843250</v>
      </c>
      <c r="W57" s="15">
        <f t="shared" si="81"/>
        <v>50002250</v>
      </c>
      <c r="X57" s="15">
        <f t="shared" si="81"/>
        <v>49998250</v>
      </c>
      <c r="Y57" s="15">
        <f t="shared" si="81"/>
        <v>52664250</v>
      </c>
      <c r="Z57" s="15">
        <f t="shared" si="81"/>
        <v>92699250</v>
      </c>
      <c r="AA57" s="15">
        <f t="shared" si="81"/>
        <v>128098250</v>
      </c>
      <c r="AB57" s="15">
        <f t="shared" si="81"/>
        <v>58114250</v>
      </c>
      <c r="AC57" s="15">
        <f t="shared" si="81"/>
        <v>50000250</v>
      </c>
      <c r="AD57" s="15">
        <f t="shared" si="81"/>
        <v>56119250</v>
      </c>
      <c r="AE57" s="15">
        <f t="shared" si="81"/>
        <v>92142250</v>
      </c>
      <c r="AF57" s="15">
        <f t="shared" si="81"/>
        <v>57711250</v>
      </c>
      <c r="AG57" s="15">
        <f t="shared" si="81"/>
        <v>96392250</v>
      </c>
      <c r="AH57" s="15">
        <f t="shared" si="81"/>
        <v>137056250</v>
      </c>
      <c r="AI57" s="15">
        <f t="shared" si="81"/>
        <v>106364250</v>
      </c>
      <c r="AJ57" s="15">
        <f t="shared" si="81"/>
        <v>149335250</v>
      </c>
      <c r="AK57" s="15">
        <f t="shared" si="81"/>
        <v>46728250</v>
      </c>
      <c r="AL57" s="15">
        <f t="shared" si="81"/>
        <v>46728250</v>
      </c>
      <c r="AM57" s="15">
        <f t="shared" ref="AM57" si="82">AL172</f>
        <v>46728250</v>
      </c>
      <c r="AO57" s="15"/>
      <c r="AP57" s="10">
        <f>AP56+1</f>
        <v>2</v>
      </c>
    </row>
    <row r="58" spans="1:42">
      <c r="A58" s="49" t="s">
        <v>30</v>
      </c>
      <c r="B58" s="46"/>
      <c r="C58" s="15">
        <f>VLOOKUP(C$56, $A$10:B$47, B$1, FALSE)*C61</f>
        <v>96238700</v>
      </c>
      <c r="D58" s="15">
        <f>VLOOKUP(D$56, $A$10:C$47, C$1, FALSE)*D61</f>
        <v>98190900</v>
      </c>
      <c r="E58" s="15">
        <f>VLOOKUP(E$56, $A$10:D$47, D$1, FALSE)*E61</f>
        <v>90938100</v>
      </c>
      <c r="F58" s="15">
        <f>VLOOKUP(F$56, $A$10:E$47, E$1, FALSE)*F61</f>
        <v>90771300</v>
      </c>
      <c r="G58" s="15">
        <f>VLOOKUP(G$56, $A$10:F$47, F$1, FALSE)*G61</f>
        <v>84940600</v>
      </c>
      <c r="H58" s="15">
        <f>VLOOKUP(H$56, $A$10:G$47, G$1, FALSE)*H61</f>
        <v>65752700</v>
      </c>
      <c r="I58" s="15">
        <f>VLOOKUP(I$56, $A$10:H$47, H$1, FALSE)*I61</f>
        <v>67107000</v>
      </c>
      <c r="J58" s="15">
        <f>VLOOKUP(J$56, $A$10:I$47, I$1, FALSE)*J61</f>
        <v>62783000</v>
      </c>
      <c r="K58" s="15">
        <f>VLOOKUP(K$56, $A$10:J$47, J$1, FALSE)*K61</f>
        <v>60439000</v>
      </c>
      <c r="L58" s="15">
        <f>VLOOKUP(L$56, $A$10:K$47, K$1, FALSE)*L61</f>
        <v>55111000</v>
      </c>
      <c r="M58" s="15">
        <f>VLOOKUP(M$56, $A$10:L$47, L$1, FALSE)*M61</f>
        <v>52156000</v>
      </c>
      <c r="N58" s="15">
        <f>VLOOKUP(N$56, $A$10:M$47, M$1, FALSE)*N61</f>
        <v>53342000</v>
      </c>
      <c r="O58" s="15">
        <f>VLOOKUP(O$56, $A$10:N$47, N$1, FALSE)*O61</f>
        <v>50195000</v>
      </c>
      <c r="P58" s="15">
        <f>VLOOKUP(P$56, $A$10:O$47, O$1, FALSE)*P61</f>
        <v>51745000</v>
      </c>
      <c r="Q58" s="15">
        <f>VLOOKUP(Q$56, $A$10:P$47, P$1, FALSE)*Q61</f>
        <v>51444000</v>
      </c>
      <c r="R58" s="15">
        <f>VLOOKUP(R$56, $A$10:Q$47, Q$1, FALSE)*R61</f>
        <v>49278000</v>
      </c>
      <c r="S58" s="15">
        <f>VLOOKUP(S$56, $A$10:R$47, R$1, FALSE)*S61</f>
        <v>48122000</v>
      </c>
      <c r="T58" s="15">
        <f>VLOOKUP(T$56, $A$10:S$47, S$1, FALSE)*T61</f>
        <v>47265000</v>
      </c>
      <c r="U58" s="15">
        <f>VLOOKUP(U$56, $A$10:T$47, T$1, FALSE)*U61</f>
        <v>46872000</v>
      </c>
      <c r="V58" s="15">
        <f>VLOOKUP(V$56, $A$10:U$47, U$1, FALSE)*V61</f>
        <v>45344000</v>
      </c>
      <c r="W58" s="15">
        <f>VLOOKUP(W$56, $A$10:V$47, V$1, FALSE)*W61</f>
        <v>46331000</v>
      </c>
      <c r="X58" s="15">
        <f>VLOOKUP(X$56, $A$10:W$47, W$1, FALSE)*X61</f>
        <v>43646000</v>
      </c>
      <c r="Y58" s="15">
        <f>VLOOKUP(Y$56, $A$10:X$47, X$1, FALSE)*Y61</f>
        <v>40035000</v>
      </c>
      <c r="Z58" s="15">
        <f>VLOOKUP(Z$56, $A$10:Y$47, Y$1, FALSE)*Z61</f>
        <v>35399000</v>
      </c>
      <c r="AA58" s="15">
        <f>VLOOKUP(AA$56, $A$10:Z$47, Z$1, FALSE)*AA61</f>
        <v>29334000</v>
      </c>
      <c r="AB58" s="15">
        <f>VLOOKUP(AB$56, $A$10:AA$47, AA$1, FALSE)*AB61</f>
        <v>30731000</v>
      </c>
      <c r="AC58" s="15">
        <f>VLOOKUP(AC$56, $A$10:AB$47, AB$1, FALSE)*AC61</f>
        <v>36354000</v>
      </c>
      <c r="AD58" s="15">
        <f>VLOOKUP(AD$56, $A$10:AC$47, AC$1, FALSE)*AD61</f>
        <v>36023000</v>
      </c>
      <c r="AE58" s="15">
        <f>VLOOKUP(AE$56, $A$10:AD$47, AD$1, FALSE)*AE61</f>
        <v>37190000</v>
      </c>
      <c r="AF58" s="15">
        <f>VLOOKUP(AF$56, $A$10:AE$47, AE$1, FALSE)*AF61</f>
        <v>38681000</v>
      </c>
      <c r="AG58" s="15">
        <f>VLOOKUP(AG$56, $A$10:AF$47, AF$1, FALSE)*AG61</f>
        <v>40664000</v>
      </c>
      <c r="AH58" s="15">
        <f>VLOOKUP(AH$56, $A$10:AG$47, AG$1, FALSE)*AH61</f>
        <v>40880000</v>
      </c>
      <c r="AI58" s="15">
        <f>VLOOKUP(AI$56, $A$10:AH$47, AH$1, FALSE)*AI61</f>
        <v>42971000</v>
      </c>
      <c r="AJ58" s="15">
        <f>VLOOKUP(AJ$56, $A$10:AI$47, AI$1, FALSE)*AJ61</f>
        <v>40969000</v>
      </c>
      <c r="AK58" s="15">
        <f>VLOOKUP(AK$56, $A$10:AJ$47, AJ$1, FALSE)*AK61</f>
        <v>0</v>
      </c>
      <c r="AL58" s="15">
        <f>VLOOKUP(AL$56, $A$10:AK$47, AK$1, FALSE)*AL61</f>
        <v>0</v>
      </c>
      <c r="AM58" s="15">
        <f>VLOOKUP(AM$56, $A$10:AL$47, AL$1, FALSE)*AM61</f>
        <v>0</v>
      </c>
      <c r="AO58" s="15"/>
      <c r="AP58" s="10">
        <f t="shared" ref="AP58:AP61" si="83">AP57+1</f>
        <v>3</v>
      </c>
    </row>
    <row r="59" spans="1:42">
      <c r="A59" s="49" t="s">
        <v>128</v>
      </c>
      <c r="B59" s="67"/>
      <c r="C59" s="52">
        <f>IF(C56='Debt Service'!$DG$51,'Debt Service'!$DG$69,IF(C56='Debt Service'!$DK$51,'Debt Service'!$DK$69,IF(C56='Debt Service'!$DO$51,'Debt Service'!$DO$69,IF(C56='Debt Service'!$DS$51, 'Debt Service'!$DS$69, 0))))</f>
        <v>0</v>
      </c>
      <c r="D59" s="52">
        <f>IF(D56='Debt Service'!$DG$51,'Debt Service'!$DG$69,IF(D56='Debt Service'!$DK$51,'Debt Service'!$DK$69,IF(D56='Debt Service'!$DO$51,'Debt Service'!$DO$69,IF(D56='Debt Service'!$DS$51, 'Debt Service'!$DS$69, 0))))</f>
        <v>0</v>
      </c>
      <c r="E59" s="52">
        <f>IF(E56='Debt Service'!$DG$51,'Debt Service'!$DG$69,IF(E56='Debt Service'!$DK$51,'Debt Service'!$DK$69,IF(E56='Debt Service'!$DO$51,'Debt Service'!$DO$69,IF(E56='Debt Service'!$DS$51, 'Debt Service'!$DS$69, 0))))</f>
        <v>0</v>
      </c>
      <c r="F59" s="52">
        <f>IF(F56='Debt Service'!$DG$51,'Debt Service'!$DG$69,IF(F56='Debt Service'!$DK$51,'Debt Service'!$DK$69,IF(F56='Debt Service'!$DO$51,'Debt Service'!$DO$69,IF(F56='Debt Service'!$DS$51, 'Debt Service'!$DS$69, 0))))</f>
        <v>0</v>
      </c>
      <c r="G59" s="52">
        <f>IF(G56='Debt Service'!$DC$51,'Debt Service'!$DC$69,IF(G56='Debt Service'!$DG$51,'Debt Service'!$DG$69,IF(G56=$DT53, $DT69,0)))</f>
        <v>0</v>
      </c>
      <c r="H59" s="52">
        <f>IF(H56='Debt Service'!$DC$51,'Debt Service'!$DC$69,IF(H56='Debt Service'!$DG$51,'Debt Service'!$DG$69,IF(H56=$DT53, $DT69,0)))</f>
        <v>0</v>
      </c>
      <c r="I59" s="52"/>
      <c r="J59" s="52"/>
      <c r="K59" s="52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O59" s="15"/>
      <c r="AP59" s="10">
        <f t="shared" si="83"/>
        <v>4</v>
      </c>
    </row>
    <row r="60" spans="1:42">
      <c r="A60" s="49" t="s">
        <v>31</v>
      </c>
      <c r="B60" s="46"/>
      <c r="C60" s="15">
        <f t="shared" ref="C60:AM60" si="84">SUM(C57:C59)</f>
        <v>242185650</v>
      </c>
      <c r="D60" s="15">
        <f t="shared" si="84"/>
        <v>212368550</v>
      </c>
      <c r="E60" s="15">
        <f t="shared" si="84"/>
        <v>223306650</v>
      </c>
      <c r="F60" s="46">
        <f t="shared" si="84"/>
        <v>234077950</v>
      </c>
      <c r="G60" s="15">
        <f t="shared" si="84"/>
        <v>249175050</v>
      </c>
      <c r="H60" s="15">
        <f t="shared" si="84"/>
        <v>117346250</v>
      </c>
      <c r="I60" s="15">
        <f t="shared" si="84"/>
        <v>120333250</v>
      </c>
      <c r="J60" s="15">
        <f t="shared" si="84"/>
        <v>112781250</v>
      </c>
      <c r="K60" s="15">
        <f t="shared" si="84"/>
        <v>173220250</v>
      </c>
      <c r="L60" s="15">
        <f t="shared" si="84"/>
        <v>115831250</v>
      </c>
      <c r="M60" s="15">
        <f t="shared" si="84"/>
        <v>111194495.47968517</v>
      </c>
      <c r="N60" s="15">
        <f t="shared" si="84"/>
        <v>103343004.52031483</v>
      </c>
      <c r="O60" s="15">
        <f t="shared" si="84"/>
        <v>106184250</v>
      </c>
      <c r="P60" s="15">
        <f t="shared" si="84"/>
        <v>107809250</v>
      </c>
      <c r="Q60" s="15">
        <f t="shared" si="84"/>
        <v>102881250</v>
      </c>
      <c r="R60" s="15">
        <f t="shared" si="84"/>
        <v>99279250</v>
      </c>
      <c r="S60" s="15">
        <f t="shared" si="84"/>
        <v>98121250</v>
      </c>
      <c r="T60" s="15">
        <f t="shared" si="84"/>
        <v>97266250</v>
      </c>
      <c r="U60" s="15">
        <f t="shared" si="84"/>
        <v>98703250</v>
      </c>
      <c r="V60" s="15">
        <f t="shared" si="84"/>
        <v>97187250</v>
      </c>
      <c r="W60" s="15">
        <f t="shared" si="84"/>
        <v>96333250</v>
      </c>
      <c r="X60" s="15">
        <f t="shared" si="84"/>
        <v>93644250</v>
      </c>
      <c r="Y60" s="15">
        <f t="shared" si="84"/>
        <v>92699250</v>
      </c>
      <c r="Z60" s="15">
        <f t="shared" si="84"/>
        <v>128098250</v>
      </c>
      <c r="AA60" s="15">
        <f t="shared" si="84"/>
        <v>157432250</v>
      </c>
      <c r="AB60" s="15">
        <f t="shared" si="84"/>
        <v>88845250</v>
      </c>
      <c r="AC60" s="15">
        <f t="shared" si="84"/>
        <v>86354250</v>
      </c>
      <c r="AD60" s="15">
        <f t="shared" si="84"/>
        <v>92142250</v>
      </c>
      <c r="AE60" s="15">
        <f t="shared" si="84"/>
        <v>129332250</v>
      </c>
      <c r="AF60" s="15">
        <f t="shared" si="84"/>
        <v>96392250</v>
      </c>
      <c r="AG60" s="15">
        <f t="shared" si="84"/>
        <v>137056250</v>
      </c>
      <c r="AH60" s="15">
        <f t="shared" si="84"/>
        <v>177936250</v>
      </c>
      <c r="AI60" s="15">
        <f t="shared" si="84"/>
        <v>149335250</v>
      </c>
      <c r="AJ60" s="15">
        <f t="shared" si="84"/>
        <v>190304250</v>
      </c>
      <c r="AK60" s="15">
        <f t="shared" si="84"/>
        <v>46728250</v>
      </c>
      <c r="AL60" s="15">
        <f t="shared" si="84"/>
        <v>46728250</v>
      </c>
      <c r="AM60" s="15">
        <f t="shared" si="84"/>
        <v>46728250</v>
      </c>
      <c r="AO60" s="15"/>
      <c r="AP60" s="10">
        <f>AP59+1</f>
        <v>5</v>
      </c>
    </row>
    <row r="61" spans="1:42">
      <c r="A61" s="66" t="s">
        <v>131</v>
      </c>
      <c r="B61" s="189"/>
      <c r="C61" s="120">
        <f>Assumptions!$C$62</f>
        <v>1</v>
      </c>
      <c r="D61" s="120">
        <f>Assumptions!$C$62</f>
        <v>1</v>
      </c>
      <c r="E61" s="120">
        <f>Assumptions!$C$62</f>
        <v>1</v>
      </c>
      <c r="F61" s="120">
        <f>Assumptions!$C$62</f>
        <v>1</v>
      </c>
      <c r="G61" s="120">
        <f>Assumptions!$C$62</f>
        <v>1</v>
      </c>
      <c r="H61" s="120">
        <f>Assumptions!$C$62</f>
        <v>1</v>
      </c>
      <c r="I61" s="120">
        <f>Assumptions!$C$62</f>
        <v>1</v>
      </c>
      <c r="J61" s="120">
        <f>Assumptions!$C$62</f>
        <v>1</v>
      </c>
      <c r="K61" s="120">
        <f>Assumptions!$C$62</f>
        <v>1</v>
      </c>
      <c r="L61" s="120">
        <f>Assumptions!$C$62</f>
        <v>1</v>
      </c>
      <c r="M61" s="120">
        <f>Assumptions!$C$62</f>
        <v>1</v>
      </c>
      <c r="N61" s="120">
        <f>Assumptions!$C$62</f>
        <v>1</v>
      </c>
      <c r="O61" s="120">
        <f>Assumptions!$C$62</f>
        <v>1</v>
      </c>
      <c r="P61" s="120">
        <f>Assumptions!$C$62</f>
        <v>1</v>
      </c>
      <c r="Q61" s="120">
        <f>Assumptions!$C$62</f>
        <v>1</v>
      </c>
      <c r="R61" s="120">
        <f>Assumptions!$C$62</f>
        <v>1</v>
      </c>
      <c r="S61" s="120">
        <f>Assumptions!$C$62</f>
        <v>1</v>
      </c>
      <c r="T61" s="120">
        <f>Assumptions!$C$62</f>
        <v>1</v>
      </c>
      <c r="U61" s="120">
        <f>Assumptions!$C$62</f>
        <v>1</v>
      </c>
      <c r="V61" s="120">
        <f>Assumptions!$C$62</f>
        <v>1</v>
      </c>
      <c r="W61" s="120">
        <f>Assumptions!$C$62</f>
        <v>1</v>
      </c>
      <c r="X61" s="120">
        <f>Assumptions!$C$62</f>
        <v>1</v>
      </c>
      <c r="Y61" s="120">
        <f>Assumptions!$C$62</f>
        <v>1</v>
      </c>
      <c r="Z61" s="120">
        <f>Assumptions!$C$62</f>
        <v>1</v>
      </c>
      <c r="AA61" s="120">
        <f>Assumptions!$C$62</f>
        <v>1</v>
      </c>
      <c r="AB61" s="120">
        <f>Assumptions!$C$62</f>
        <v>1</v>
      </c>
      <c r="AC61" s="120">
        <f>Assumptions!$C$62</f>
        <v>1</v>
      </c>
      <c r="AD61" s="120">
        <f>Assumptions!$C$62</f>
        <v>1</v>
      </c>
      <c r="AE61" s="120">
        <f>Assumptions!$C$62</f>
        <v>1</v>
      </c>
      <c r="AF61" s="120">
        <f>Assumptions!$C$62</f>
        <v>1</v>
      </c>
      <c r="AG61" s="120">
        <f>Assumptions!$C$62</f>
        <v>1</v>
      </c>
      <c r="AH61" s="120">
        <f>Assumptions!$C$62</f>
        <v>1</v>
      </c>
      <c r="AI61" s="120">
        <f>Assumptions!$C$62</f>
        <v>1</v>
      </c>
      <c r="AJ61" s="120">
        <f>Assumptions!$C$62</f>
        <v>1</v>
      </c>
      <c r="AK61" s="120">
        <f>Assumptions!$C$62</f>
        <v>1</v>
      </c>
      <c r="AL61" s="120">
        <f>Assumptions!$C$62</f>
        <v>1</v>
      </c>
      <c r="AM61" s="120">
        <f>Assumptions!$C$62</f>
        <v>1</v>
      </c>
      <c r="AP61" s="10">
        <f t="shared" si="83"/>
        <v>6</v>
      </c>
    </row>
    <row r="62" spans="1:42">
      <c r="A62" s="53"/>
      <c r="B62" s="46"/>
      <c r="C62" s="15"/>
      <c r="D62" s="15"/>
      <c r="E62" s="15"/>
      <c r="F62" s="4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42">
      <c r="A63" s="49"/>
      <c r="B63" s="54"/>
      <c r="C63" s="54" t="s">
        <v>32</v>
      </c>
      <c r="D63" s="54" t="s">
        <v>32</v>
      </c>
      <c r="E63" s="54" t="s">
        <v>32</v>
      </c>
      <c r="F63" s="54" t="s">
        <v>32</v>
      </c>
      <c r="G63" s="54" t="s">
        <v>32</v>
      </c>
      <c r="H63" s="54" t="s">
        <v>32</v>
      </c>
      <c r="I63" s="54" t="s">
        <v>32</v>
      </c>
      <c r="J63" s="54" t="s">
        <v>32</v>
      </c>
      <c r="K63" s="54" t="s">
        <v>32</v>
      </c>
      <c r="L63" s="54" t="s">
        <v>32</v>
      </c>
      <c r="M63" s="54" t="s">
        <v>32</v>
      </c>
      <c r="N63" s="54" t="s">
        <v>32</v>
      </c>
      <c r="O63" s="54" t="s">
        <v>32</v>
      </c>
      <c r="P63" s="54" t="s">
        <v>32</v>
      </c>
      <c r="Q63" s="54" t="s">
        <v>32</v>
      </c>
      <c r="R63" s="54" t="s">
        <v>32</v>
      </c>
      <c r="S63" s="54" t="s">
        <v>32</v>
      </c>
      <c r="T63" s="54" t="s">
        <v>32</v>
      </c>
      <c r="U63" s="54" t="s">
        <v>32</v>
      </c>
      <c r="V63" s="54" t="s">
        <v>32</v>
      </c>
      <c r="W63" s="54" t="s">
        <v>32</v>
      </c>
      <c r="X63" s="54" t="s">
        <v>32</v>
      </c>
      <c r="Y63" s="54" t="s">
        <v>32</v>
      </c>
      <c r="Z63" s="54" t="s">
        <v>32</v>
      </c>
      <c r="AA63" s="54" t="s">
        <v>32</v>
      </c>
      <c r="AB63" s="54" t="s">
        <v>32</v>
      </c>
      <c r="AC63" s="54" t="s">
        <v>32</v>
      </c>
      <c r="AD63" s="54" t="s">
        <v>32</v>
      </c>
      <c r="AE63" s="54" t="s">
        <v>32</v>
      </c>
      <c r="AF63" s="54" t="s">
        <v>32</v>
      </c>
      <c r="AG63" s="54" t="s">
        <v>32</v>
      </c>
      <c r="AH63" s="54" t="s">
        <v>32</v>
      </c>
      <c r="AI63" s="54" t="s">
        <v>32</v>
      </c>
      <c r="AJ63" s="54" t="s">
        <v>32</v>
      </c>
      <c r="AK63" s="54" t="s">
        <v>32</v>
      </c>
      <c r="AL63" s="54" t="s">
        <v>32</v>
      </c>
      <c r="AM63" s="54" t="s">
        <v>32</v>
      </c>
      <c r="AN63" s="42"/>
    </row>
    <row r="64" spans="1:42">
      <c r="A64" s="49"/>
      <c r="B64" s="54"/>
      <c r="C64" s="54" t="s">
        <v>33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 t="s">
        <v>33</v>
      </c>
      <c r="M64" s="54" t="s">
        <v>33</v>
      </c>
      <c r="N64" s="54" t="s">
        <v>33</v>
      </c>
      <c r="O64" s="54" t="s">
        <v>33</v>
      </c>
      <c r="P64" s="54" t="s">
        <v>33</v>
      </c>
      <c r="Q64" s="54" t="s">
        <v>33</v>
      </c>
      <c r="R64" s="54" t="s">
        <v>33</v>
      </c>
      <c r="S64" s="54" t="s">
        <v>33</v>
      </c>
      <c r="T64" s="54" t="s">
        <v>33</v>
      </c>
      <c r="U64" s="54" t="s">
        <v>33</v>
      </c>
      <c r="V64" s="54" t="s">
        <v>33</v>
      </c>
      <c r="W64" s="54" t="s">
        <v>33</v>
      </c>
      <c r="X64" s="54" t="s">
        <v>33</v>
      </c>
      <c r="Y64" s="54" t="s">
        <v>33</v>
      </c>
      <c r="Z64" s="54" t="s">
        <v>33</v>
      </c>
      <c r="AA64" s="54" t="s">
        <v>33</v>
      </c>
      <c r="AB64" s="54" t="s">
        <v>33</v>
      </c>
      <c r="AC64" s="54" t="s">
        <v>33</v>
      </c>
      <c r="AD64" s="54" t="s">
        <v>33</v>
      </c>
      <c r="AE64" s="54" t="s">
        <v>33</v>
      </c>
      <c r="AF64" s="54" t="s">
        <v>33</v>
      </c>
      <c r="AG64" s="54" t="s">
        <v>33</v>
      </c>
      <c r="AH64" s="54" t="s">
        <v>33</v>
      </c>
      <c r="AI64" s="54" t="s">
        <v>33</v>
      </c>
      <c r="AJ64" s="54" t="s">
        <v>33</v>
      </c>
      <c r="AK64" s="54" t="s">
        <v>33</v>
      </c>
      <c r="AL64" s="54" t="s">
        <v>33</v>
      </c>
      <c r="AM64" s="54" t="s">
        <v>33</v>
      </c>
      <c r="AN64" s="42"/>
    </row>
    <row r="65" spans="1:43">
      <c r="A65" s="49"/>
      <c r="B65" s="54"/>
      <c r="C65" s="54" t="s">
        <v>34</v>
      </c>
      <c r="D65" s="54" t="s">
        <v>34</v>
      </c>
      <c r="E65" s="54" t="s">
        <v>34</v>
      </c>
      <c r="F65" s="54" t="s">
        <v>34</v>
      </c>
      <c r="G65" s="54" t="s">
        <v>34</v>
      </c>
      <c r="H65" s="54" t="s">
        <v>34</v>
      </c>
      <c r="I65" s="54" t="s">
        <v>34</v>
      </c>
      <c r="J65" s="54" t="s">
        <v>34</v>
      </c>
      <c r="K65" s="54" t="s">
        <v>34</v>
      </c>
      <c r="L65" s="54" t="s">
        <v>34</v>
      </c>
      <c r="M65" s="54" t="s">
        <v>34</v>
      </c>
      <c r="N65" s="54" t="s">
        <v>34</v>
      </c>
      <c r="O65" s="54" t="s">
        <v>34</v>
      </c>
      <c r="P65" s="54" t="s">
        <v>34</v>
      </c>
      <c r="Q65" s="54" t="s">
        <v>34</v>
      </c>
      <c r="R65" s="54" t="s">
        <v>34</v>
      </c>
      <c r="S65" s="54" t="s">
        <v>34</v>
      </c>
      <c r="T65" s="54" t="s">
        <v>34</v>
      </c>
      <c r="U65" s="54" t="s">
        <v>34</v>
      </c>
      <c r="V65" s="54" t="s">
        <v>34</v>
      </c>
      <c r="W65" s="54" t="s">
        <v>34</v>
      </c>
      <c r="X65" s="54" t="s">
        <v>34</v>
      </c>
      <c r="Y65" s="54" t="s">
        <v>34</v>
      </c>
      <c r="Z65" s="54" t="s">
        <v>34</v>
      </c>
      <c r="AA65" s="54" t="s">
        <v>34</v>
      </c>
      <c r="AB65" s="54" t="s">
        <v>34</v>
      </c>
      <c r="AC65" s="54" t="s">
        <v>34</v>
      </c>
      <c r="AD65" s="54" t="s">
        <v>34</v>
      </c>
      <c r="AE65" s="54" t="s">
        <v>34</v>
      </c>
      <c r="AF65" s="54" t="s">
        <v>34</v>
      </c>
      <c r="AG65" s="54" t="s">
        <v>34</v>
      </c>
      <c r="AH65" s="54" t="s">
        <v>34</v>
      </c>
      <c r="AI65" s="54" t="s">
        <v>34</v>
      </c>
      <c r="AJ65" s="54" t="s">
        <v>34</v>
      </c>
      <c r="AK65" s="54" t="s">
        <v>34</v>
      </c>
      <c r="AL65" s="54" t="s">
        <v>34</v>
      </c>
      <c r="AM65" s="54" t="s">
        <v>34</v>
      </c>
      <c r="AN65" s="42"/>
    </row>
    <row r="66" spans="1:43">
      <c r="A66" s="42"/>
      <c r="B66" s="45"/>
      <c r="C66" s="45">
        <f t="shared" ref="C66:AM66" si="85">C8</f>
        <v>2024</v>
      </c>
      <c r="D66" s="45">
        <f t="shared" si="85"/>
        <v>2025</v>
      </c>
      <c r="E66" s="45">
        <f t="shared" si="85"/>
        <v>2026</v>
      </c>
      <c r="F66" s="45">
        <f t="shared" si="85"/>
        <v>2027</v>
      </c>
      <c r="G66" s="45">
        <f t="shared" si="85"/>
        <v>2028</v>
      </c>
      <c r="H66" s="45">
        <f t="shared" si="85"/>
        <v>2029</v>
      </c>
      <c r="I66" s="45">
        <f t="shared" si="85"/>
        <v>2030</v>
      </c>
      <c r="J66" s="45">
        <f t="shared" si="85"/>
        <v>2031</v>
      </c>
      <c r="K66" s="45">
        <f t="shared" si="85"/>
        <v>2032</v>
      </c>
      <c r="L66" s="45">
        <f t="shared" si="85"/>
        <v>2033</v>
      </c>
      <c r="M66" s="45">
        <f t="shared" si="85"/>
        <v>2034</v>
      </c>
      <c r="N66" s="45">
        <f t="shared" si="85"/>
        <v>2035</v>
      </c>
      <c r="O66" s="45">
        <f t="shared" si="85"/>
        <v>2036</v>
      </c>
      <c r="P66" s="45">
        <f t="shared" si="85"/>
        <v>2037</v>
      </c>
      <c r="Q66" s="45">
        <f t="shared" si="85"/>
        <v>2038</v>
      </c>
      <c r="R66" s="45">
        <f t="shared" si="85"/>
        <v>2039</v>
      </c>
      <c r="S66" s="45">
        <f t="shared" si="85"/>
        <v>2040</v>
      </c>
      <c r="T66" s="45">
        <f t="shared" si="85"/>
        <v>2041</v>
      </c>
      <c r="U66" s="45">
        <f t="shared" si="85"/>
        <v>2042</v>
      </c>
      <c r="V66" s="45">
        <f t="shared" si="85"/>
        <v>2043</v>
      </c>
      <c r="W66" s="45">
        <f t="shared" si="85"/>
        <v>2044</v>
      </c>
      <c r="X66" s="45">
        <f t="shared" si="85"/>
        <v>2045</v>
      </c>
      <c r="Y66" s="45">
        <f t="shared" si="85"/>
        <v>2046</v>
      </c>
      <c r="Z66" s="45">
        <f t="shared" si="85"/>
        <v>2047</v>
      </c>
      <c r="AA66" s="45">
        <f t="shared" si="85"/>
        <v>2048</v>
      </c>
      <c r="AB66" s="45">
        <f t="shared" si="85"/>
        <v>2049</v>
      </c>
      <c r="AC66" s="45">
        <f t="shared" si="85"/>
        <v>2050</v>
      </c>
      <c r="AD66" s="45">
        <f t="shared" si="85"/>
        <v>2051</v>
      </c>
      <c r="AE66" s="45">
        <f t="shared" si="85"/>
        <v>2052</v>
      </c>
      <c r="AF66" s="45">
        <f t="shared" si="85"/>
        <v>2053</v>
      </c>
      <c r="AG66" s="45">
        <f t="shared" si="85"/>
        <v>2054</v>
      </c>
      <c r="AH66" s="45">
        <f t="shared" si="85"/>
        <v>2055</v>
      </c>
      <c r="AI66" s="45">
        <f t="shared" si="85"/>
        <v>2056</v>
      </c>
      <c r="AJ66" s="45">
        <f t="shared" si="85"/>
        <v>2057</v>
      </c>
      <c r="AK66" s="45">
        <f t="shared" si="85"/>
        <v>2058</v>
      </c>
      <c r="AL66" s="45">
        <f t="shared" si="85"/>
        <v>2059</v>
      </c>
      <c r="AM66" s="45">
        <f t="shared" si="85"/>
        <v>2060</v>
      </c>
      <c r="AN66" s="45" t="s">
        <v>7</v>
      </c>
      <c r="AP66" s="10">
        <v>1</v>
      </c>
    </row>
    <row r="67" spans="1:43" outlineLevel="1">
      <c r="A67" s="133" t="s">
        <v>118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P67" s="10">
        <f>AP66+1</f>
        <v>2</v>
      </c>
    </row>
    <row r="68" spans="1:43" outlineLevel="1">
      <c r="A68" s="132" t="str">
        <f>'Debt Service'!U52</f>
        <v>1997 Series</v>
      </c>
      <c r="B68" s="46"/>
      <c r="C68" s="15">
        <f>VLOOKUP(C$66, 'Debt Service'!$A$11:$V$47, 'Debt Service'!$U$6, FALSE)</f>
        <v>0</v>
      </c>
      <c r="D68" s="15">
        <f>VLOOKUP(D$66, 'Debt Service'!$A$11:$V$47, 'Debt Service'!$U$6, FALSE)</f>
        <v>0</v>
      </c>
      <c r="E68" s="15">
        <f>VLOOKUP(E$66, 'Debt Service'!$A$11:$V$47, 'Debt Service'!$U$6, FALSE)</f>
        <v>0</v>
      </c>
      <c r="F68" s="15">
        <f>VLOOKUP(F$66, 'Debt Service'!$A$11:$V$47, 'Debt Service'!$U$6, FALSE)</f>
        <v>16815000</v>
      </c>
      <c r="G68" s="15">
        <f>VLOOKUP(G$66, 'Debt Service'!$A$11:$V$47, 'Debt Service'!$U$6, FALSE)</f>
        <v>0</v>
      </c>
      <c r="H68" s="15">
        <f>VLOOKUP(H$66, 'Debt Service'!$A$11:$V$47, 'Debt Service'!$U$6, FALSE)</f>
        <v>0</v>
      </c>
      <c r="I68" s="15">
        <f>VLOOKUP(I$66, 'Debt Service'!$A$11:$V$47, 'Debt Service'!$U$6, FALSE)</f>
        <v>0</v>
      </c>
      <c r="J68" s="15">
        <f>VLOOKUP(J$66, 'Debt Service'!$A$11:$V$47, 'Debt Service'!$U$6, FALSE)</f>
        <v>0</v>
      </c>
      <c r="K68" s="15">
        <f>VLOOKUP(K$66, 'Debt Service'!$A$11:$V$47, 'Debt Service'!$U$6, FALSE)</f>
        <v>0</v>
      </c>
      <c r="L68" s="15">
        <f>VLOOKUP(L$66, 'Debt Service'!$A$11:$V$47, 'Debt Service'!$U$6, FALSE)</f>
        <v>0</v>
      </c>
      <c r="M68" s="15">
        <f>VLOOKUP(M$66, 'Debt Service'!$A$11:$V$47, 'Debt Service'!$U$6, FALSE)</f>
        <v>0</v>
      </c>
      <c r="N68" s="15">
        <f>VLOOKUP(N$66, 'Debt Service'!$A$11:$V$47, 'Debt Service'!$U$6, FALSE)</f>
        <v>0</v>
      </c>
      <c r="O68" s="15">
        <f>VLOOKUP(O$66, 'Debt Service'!$A$11:$V$47, 'Debt Service'!$U$6, FALSE)</f>
        <v>0</v>
      </c>
      <c r="P68" s="15">
        <f>VLOOKUP(P$66, 'Debt Service'!$A$11:$V$47, 'Debt Service'!$U$6, FALSE)</f>
        <v>0</v>
      </c>
      <c r="Q68" s="15">
        <f>VLOOKUP(Q$66, 'Debt Service'!$A$11:$V$47, 'Debt Service'!$U$6, FALSE)</f>
        <v>0</v>
      </c>
      <c r="R68" s="15">
        <f>VLOOKUP(R$66, 'Debt Service'!$A$11:$V$47, 'Debt Service'!$U$6, FALSE)</f>
        <v>0</v>
      </c>
      <c r="S68" s="15">
        <f>VLOOKUP(S$66, 'Debt Service'!$A$11:$V$47, 'Debt Service'!$U$6, FALSE)</f>
        <v>0</v>
      </c>
      <c r="T68" s="15">
        <f>VLOOKUP(T$66, 'Debt Service'!$A$11:$V$47, 'Debt Service'!$U$6, FALSE)</f>
        <v>0</v>
      </c>
      <c r="U68" s="15">
        <f>VLOOKUP(U$66, 'Debt Service'!$A$11:$V$47, 'Debt Service'!$U$6, FALSE)</f>
        <v>0</v>
      </c>
      <c r="V68" s="15">
        <f>VLOOKUP(V$66, 'Debt Service'!$A$11:$V$47, 'Debt Service'!$U$6, FALSE)</f>
        <v>0</v>
      </c>
      <c r="W68" s="15">
        <f>VLOOKUP(W$66, 'Debt Service'!$A$11:$V$47, 'Debt Service'!$U$6, FALSE)</f>
        <v>0</v>
      </c>
      <c r="X68" s="15">
        <f>VLOOKUP(X$66, 'Debt Service'!$A$11:$V$47, 'Debt Service'!$U$6, FALSE)</f>
        <v>0</v>
      </c>
      <c r="Y68" s="15">
        <f>VLOOKUP(Y$66, 'Debt Service'!$A$11:$V$47, 'Debt Service'!$U$6, FALSE)</f>
        <v>0</v>
      </c>
      <c r="Z68" s="15">
        <f>VLOOKUP(Z$66, 'Debt Service'!$A$11:$V$47, 'Debt Service'!$U$6, FALSE)</f>
        <v>0</v>
      </c>
      <c r="AA68" s="15">
        <f>VLOOKUP(AA$66, 'Debt Service'!$A$11:$V$47, 'Debt Service'!$U$6, FALSE)</f>
        <v>0</v>
      </c>
      <c r="AB68" s="15">
        <f>VLOOKUP(AB$66, 'Debt Service'!$A$11:$V$47, 'Debt Service'!$U$6, FALSE)</f>
        <v>0</v>
      </c>
      <c r="AC68" s="15">
        <f>VLOOKUP(AC$66, 'Debt Service'!$A$11:$V$47, 'Debt Service'!$U$6, FALSE)</f>
        <v>0</v>
      </c>
      <c r="AD68" s="15">
        <f>VLOOKUP(AD$66, 'Debt Service'!$A$11:$V$47, 'Debt Service'!$U$6, FALSE)</f>
        <v>0</v>
      </c>
      <c r="AE68" s="15">
        <f>VLOOKUP(AE$66, 'Debt Service'!$A$11:$V$47, 'Debt Service'!$U$6, FALSE)</f>
        <v>0</v>
      </c>
      <c r="AF68" s="15">
        <f>VLOOKUP(AF$66, 'Debt Service'!$A$11:$V$47, 'Debt Service'!$U$6, FALSE)</f>
        <v>0</v>
      </c>
      <c r="AG68" s="15">
        <f>VLOOKUP(AG$66, 'Debt Service'!$A$11:$V$47, 'Debt Service'!$U$6, FALSE)</f>
        <v>0</v>
      </c>
      <c r="AH68" s="15">
        <f>VLOOKUP(AH$66, 'Debt Service'!$A$11:$V$47, 'Debt Service'!$U$6, FALSE)</f>
        <v>0</v>
      </c>
      <c r="AI68" s="15">
        <f>VLOOKUP(AI$66, 'Debt Service'!$A$11:$V$47, 'Debt Service'!$U$6, FALSE)</f>
        <v>0</v>
      </c>
      <c r="AJ68" s="15">
        <f>VLOOKUP(AJ$66, 'Debt Service'!$A$11:$V$47, 'Debt Service'!$U$6, FALSE)</f>
        <v>0</v>
      </c>
      <c r="AK68" s="15">
        <f>VLOOKUP(AK$66, 'Debt Service'!$A$11:$V$47, 'Debt Service'!$U$6, FALSE)</f>
        <v>0</v>
      </c>
      <c r="AL68" s="15">
        <f>VLOOKUP(AL$66, 'Debt Service'!$A$11:$V$47, 'Debt Service'!$U$6, FALSE)</f>
        <v>0</v>
      </c>
      <c r="AM68" s="15">
        <f>VLOOKUP(AM$66, 'Debt Service'!$A$11:$V$47, 'Debt Service'!$U$6, FALSE)</f>
        <v>0</v>
      </c>
      <c r="AN68" s="29">
        <f t="shared" ref="AN68:AN81" si="86">SUM(B68:AM68)</f>
        <v>16815000</v>
      </c>
      <c r="AO68" s="29"/>
      <c r="AP68" s="10">
        <f t="shared" ref="AP68:AP111" si="87">AP67+1</f>
        <v>3</v>
      </c>
      <c r="AQ68" s="73">
        <f t="shared" ref="AQ68:AQ81" si="88">SUM(B68:AM68)-AN68</f>
        <v>0</v>
      </c>
    </row>
    <row r="69" spans="1:43" outlineLevel="1">
      <c r="A69" s="132" t="str">
        <f>'Debt Service'!X52</f>
        <v>1998 A Series</v>
      </c>
      <c r="B69" s="46"/>
      <c r="C69" s="15">
        <f>VLOOKUP(C$66, 'Debt Service'!$A$11:$Z$47, 'Debt Service'!$X$6, FALSE)</f>
        <v>0</v>
      </c>
      <c r="D69" s="15">
        <f>VLOOKUP(D$66, 'Debt Service'!$A$11:$Z$47, 'Debt Service'!$X$6, FALSE)</f>
        <v>0</v>
      </c>
      <c r="E69" s="15">
        <f>VLOOKUP(E$66, 'Debt Service'!$A$11:$Z$47, 'Debt Service'!$X$6, FALSE)</f>
        <v>0</v>
      </c>
      <c r="F69" s="15">
        <f>VLOOKUP(F$66, 'Debt Service'!$A$11:$Z$47, 'Debt Service'!$X$6, FALSE)</f>
        <v>0</v>
      </c>
      <c r="G69" s="15">
        <f>VLOOKUP(G$66, 'Debt Service'!$A$11:$Z$47, 'Debt Service'!$X$6, FALSE)</f>
        <v>219535000</v>
      </c>
      <c r="H69" s="15">
        <f>VLOOKUP(H$66, 'Debt Service'!$A$11:$Z$47, 'Debt Service'!$X$6, FALSE)</f>
        <v>0</v>
      </c>
      <c r="I69" s="15">
        <f>VLOOKUP(I$66, 'Debt Service'!$A$11:$Z$47, 'Debt Service'!$X$6, FALSE)</f>
        <v>0</v>
      </c>
      <c r="J69" s="15">
        <f>VLOOKUP(J$66, 'Debt Service'!$A$11:$Z$47, 'Debt Service'!$X$6, FALSE)</f>
        <v>0</v>
      </c>
      <c r="K69" s="15">
        <f>VLOOKUP(K$66, 'Debt Service'!$A$11:$Z$47, 'Debt Service'!$X$6, FALSE)</f>
        <v>0</v>
      </c>
      <c r="L69" s="15">
        <f>VLOOKUP(L$66, 'Debt Service'!$A$11:$Z$47, 'Debt Service'!$X$6, FALSE)</f>
        <v>0</v>
      </c>
      <c r="M69" s="15">
        <f>VLOOKUP(M$66, 'Debt Service'!$A$11:$Z$47, 'Debt Service'!$X$6, FALSE)</f>
        <v>0</v>
      </c>
      <c r="N69" s="15">
        <f>VLOOKUP(N$66, 'Debt Service'!$A$11:$Z$47, 'Debt Service'!$X$6, FALSE)</f>
        <v>0</v>
      </c>
      <c r="O69" s="15">
        <f>VLOOKUP(O$66, 'Debt Service'!$A$11:$Z$47, 'Debt Service'!$X$6, FALSE)</f>
        <v>0</v>
      </c>
      <c r="P69" s="15">
        <f>VLOOKUP(P$66, 'Debt Service'!$A$11:$Z$47, 'Debt Service'!$X$6, FALSE)</f>
        <v>0</v>
      </c>
      <c r="Q69" s="15">
        <f>VLOOKUP(Q$66, 'Debt Service'!$A$11:$Z$47, 'Debt Service'!$X$6, FALSE)</f>
        <v>0</v>
      </c>
      <c r="R69" s="15">
        <f>VLOOKUP(R$66, 'Debt Service'!$A$11:$Z$47, 'Debt Service'!$X$6, FALSE)</f>
        <v>0</v>
      </c>
      <c r="S69" s="15">
        <f>VLOOKUP(S$66, 'Debt Service'!$A$11:$Z$47, 'Debt Service'!$X$6, FALSE)</f>
        <v>0</v>
      </c>
      <c r="T69" s="15">
        <f>VLOOKUP(T$66, 'Debt Service'!$A$11:$Z$47, 'Debt Service'!$X$6, FALSE)</f>
        <v>0</v>
      </c>
      <c r="U69" s="15">
        <f>VLOOKUP(U$66, 'Debt Service'!$A$11:$Z$47, 'Debt Service'!$X$6, FALSE)</f>
        <v>0</v>
      </c>
      <c r="V69" s="15">
        <f>VLOOKUP(V$66, 'Debt Service'!$A$11:$Z$47, 'Debt Service'!$X$6, FALSE)</f>
        <v>0</v>
      </c>
      <c r="W69" s="15">
        <f>VLOOKUP(W$66, 'Debt Service'!$A$11:$Z$47, 'Debt Service'!$X$6, FALSE)</f>
        <v>0</v>
      </c>
      <c r="X69" s="15">
        <f>VLOOKUP(X$66, 'Debt Service'!$A$11:$Z$47, 'Debt Service'!$X$6, FALSE)</f>
        <v>0</v>
      </c>
      <c r="Y69" s="15">
        <f>VLOOKUP(Y$66, 'Debt Service'!$A$11:$Z$47, 'Debt Service'!$X$6, FALSE)</f>
        <v>0</v>
      </c>
      <c r="Z69" s="15">
        <f>VLOOKUP(Z$66, 'Debt Service'!$A$11:$Z$47, 'Debt Service'!$X$6, FALSE)</f>
        <v>0</v>
      </c>
      <c r="AA69" s="15">
        <f>VLOOKUP(AA$66, 'Debt Service'!$A$11:$Z$47, 'Debt Service'!$X$6, FALSE)</f>
        <v>0</v>
      </c>
      <c r="AB69" s="15">
        <f>VLOOKUP(AB$66, 'Debt Service'!$A$11:$Z$47, 'Debt Service'!$X$6, FALSE)</f>
        <v>0</v>
      </c>
      <c r="AC69" s="15">
        <f>VLOOKUP(AC$66, 'Debt Service'!$A$11:$Z$47, 'Debt Service'!$X$6, FALSE)</f>
        <v>0</v>
      </c>
      <c r="AD69" s="15">
        <f>VLOOKUP(AD$66, 'Debt Service'!$A$11:$Z$47, 'Debt Service'!$X$6, FALSE)</f>
        <v>0</v>
      </c>
      <c r="AE69" s="15">
        <f>VLOOKUP(AE$66, 'Debt Service'!$A$11:$Z$47, 'Debt Service'!$X$6, FALSE)</f>
        <v>0</v>
      </c>
      <c r="AF69" s="15">
        <f>VLOOKUP(AF$66, 'Debt Service'!$A$11:$Z$47, 'Debt Service'!$X$6, FALSE)</f>
        <v>0</v>
      </c>
      <c r="AG69" s="15">
        <f>VLOOKUP(AG$66, 'Debt Service'!$A$11:$Z$47, 'Debt Service'!$X$6, FALSE)</f>
        <v>0</v>
      </c>
      <c r="AH69" s="15">
        <f>VLOOKUP(AH$66, 'Debt Service'!$A$11:$Z$47, 'Debt Service'!$X$6, FALSE)</f>
        <v>0</v>
      </c>
      <c r="AI69" s="15">
        <f>VLOOKUP(AI$66, 'Debt Service'!$A$11:$Z$47, 'Debt Service'!$X$6, FALSE)</f>
        <v>0</v>
      </c>
      <c r="AJ69" s="15">
        <f>VLOOKUP(AJ$66, 'Debt Service'!$A$11:$Z$47, 'Debt Service'!$X$6, FALSE)</f>
        <v>0</v>
      </c>
      <c r="AK69" s="15">
        <f>VLOOKUP(AK$66, 'Debt Service'!$A$11:$Z$47, 'Debt Service'!$X$6, FALSE)</f>
        <v>0</v>
      </c>
      <c r="AL69" s="15">
        <f>VLOOKUP(AL$66, 'Debt Service'!$A$11:$Z$47, 'Debt Service'!$X$6, FALSE)</f>
        <v>0</v>
      </c>
      <c r="AM69" s="15">
        <f>VLOOKUP(AM$66, 'Debt Service'!$A$11:$Z$47, 'Debt Service'!$X$6, FALSE)</f>
        <v>0</v>
      </c>
      <c r="AN69" s="29">
        <f t="shared" si="86"/>
        <v>219535000</v>
      </c>
      <c r="AO69" s="29"/>
      <c r="AP69" s="10">
        <f t="shared" si="87"/>
        <v>4</v>
      </c>
      <c r="AQ69" s="73">
        <f t="shared" si="88"/>
        <v>0</v>
      </c>
    </row>
    <row r="70" spans="1:43" outlineLevel="1">
      <c r="A70" s="132" t="str">
        <f>'Debt Service'!AB52</f>
        <v>2002 C Series</v>
      </c>
      <c r="B70" s="46"/>
      <c r="C70" s="15">
        <f>VLOOKUP(C$66, 'Debt Service'!$A$11:$AB$47, 'Debt Service'!$AB$6, FALSE)</f>
        <v>0</v>
      </c>
      <c r="D70" s="15">
        <f>VLOOKUP(D$66, 'Debt Service'!$A$11:$AB$47, 'Debt Service'!$AB$6, FALSE)</f>
        <v>0</v>
      </c>
      <c r="E70" s="15">
        <f>VLOOKUP(E$66, 'Debt Service'!$A$11:$AB$47, 'Debt Service'!$AB$6, FALSE)</f>
        <v>0</v>
      </c>
      <c r="F70" s="15">
        <f>VLOOKUP(F$66, 'Debt Service'!$A$11:$AB$47, 'Debt Service'!$AB$6, FALSE)</f>
        <v>0</v>
      </c>
      <c r="G70" s="15">
        <f>VLOOKUP(G$66, 'Debt Service'!$A$11:$AB$47, 'Debt Service'!$AB$6, FALSE)</f>
        <v>0</v>
      </c>
      <c r="H70" s="15">
        <f>VLOOKUP(H$66, 'Debt Service'!$A$11:$AB$47, 'Debt Service'!$AB$6, FALSE)</f>
        <v>0</v>
      </c>
      <c r="I70" s="15">
        <f>VLOOKUP(I$66, 'Debt Service'!$A$11:$AB$47, 'Debt Service'!$AB$6, FALSE)</f>
        <v>0</v>
      </c>
      <c r="J70" s="15">
        <f>VLOOKUP(J$66, 'Debt Service'!$A$11:$AB$47, 'Debt Service'!$AB$6, FALSE)</f>
        <v>0</v>
      </c>
      <c r="K70" s="15">
        <f>VLOOKUP(K$66, 'Debt Service'!$A$11:$AB$47, 'Debt Service'!$AB$6, FALSE)</f>
        <v>125000000</v>
      </c>
      <c r="L70" s="15">
        <f>VLOOKUP(L$66, 'Debt Service'!$A$11:$AB$47, 'Debt Service'!$AB$6, FALSE)</f>
        <v>0</v>
      </c>
      <c r="M70" s="15">
        <f>VLOOKUP(M$66, 'Debt Service'!$A$11:$AB$47, 'Debt Service'!$AB$6, FALSE)</f>
        <v>0</v>
      </c>
      <c r="N70" s="15">
        <f>VLOOKUP(N$66, 'Debt Service'!$A$11:$AB$47, 'Debt Service'!$AB$6, FALSE)</f>
        <v>0</v>
      </c>
      <c r="O70" s="15">
        <f>VLOOKUP(O$66, 'Debt Service'!$A$11:$AB$47, 'Debt Service'!$AB$6, FALSE)</f>
        <v>0</v>
      </c>
      <c r="P70" s="15">
        <f>VLOOKUP(P$66, 'Debt Service'!$A$11:$AB$47, 'Debt Service'!$AB$6, FALSE)</f>
        <v>0</v>
      </c>
      <c r="Q70" s="15">
        <f>VLOOKUP(Q$66, 'Debt Service'!$A$11:$AB$47, 'Debt Service'!$AB$6, FALSE)</f>
        <v>0</v>
      </c>
      <c r="R70" s="15">
        <f>VLOOKUP(R$66, 'Debt Service'!$A$11:$AB$47, 'Debt Service'!$AB$6, FALSE)</f>
        <v>0</v>
      </c>
      <c r="S70" s="15">
        <f>VLOOKUP(S$66, 'Debt Service'!$A$11:$AB$47, 'Debt Service'!$AB$6, FALSE)</f>
        <v>0</v>
      </c>
      <c r="T70" s="15">
        <f>VLOOKUP(T$66, 'Debt Service'!$A$11:$AB$47, 'Debt Service'!$AB$6, FALSE)</f>
        <v>0</v>
      </c>
      <c r="U70" s="15">
        <f>VLOOKUP(U$66, 'Debt Service'!$A$11:$AB$47, 'Debt Service'!$AB$6, FALSE)</f>
        <v>0</v>
      </c>
      <c r="V70" s="15">
        <f>VLOOKUP(V$66, 'Debt Service'!$A$11:$AB$47, 'Debt Service'!$AB$6, FALSE)</f>
        <v>0</v>
      </c>
      <c r="W70" s="15">
        <f>VLOOKUP(W$66, 'Debt Service'!$A$11:$AB$47, 'Debt Service'!$AB$6, FALSE)</f>
        <v>0</v>
      </c>
      <c r="X70" s="15">
        <f>VLOOKUP(X$66, 'Debt Service'!$A$11:$AB$47, 'Debt Service'!$AB$6, FALSE)</f>
        <v>0</v>
      </c>
      <c r="Y70" s="15">
        <f>VLOOKUP(Y$66, 'Debt Service'!$A$11:$AB$47, 'Debt Service'!$AB$6, FALSE)</f>
        <v>0</v>
      </c>
      <c r="Z70" s="15">
        <f>VLOOKUP(Z$66, 'Debt Service'!$A$11:$AB$47, 'Debt Service'!$AB$6, FALSE)</f>
        <v>0</v>
      </c>
      <c r="AA70" s="15">
        <f>VLOOKUP(AA$66, 'Debt Service'!$A$11:$AB$47, 'Debt Service'!$AB$6, FALSE)</f>
        <v>0</v>
      </c>
      <c r="AB70" s="15">
        <f>VLOOKUP(AB$66, 'Debt Service'!$A$11:$AB$47, 'Debt Service'!$AB$6, FALSE)</f>
        <v>0</v>
      </c>
      <c r="AC70" s="15">
        <f>VLOOKUP(AC$66, 'Debt Service'!$A$11:$AB$47, 'Debt Service'!$AB$6, FALSE)</f>
        <v>0</v>
      </c>
      <c r="AD70" s="15">
        <f>VLOOKUP(AD$66, 'Debt Service'!$A$11:$AB$47, 'Debt Service'!$AB$6, FALSE)</f>
        <v>0</v>
      </c>
      <c r="AE70" s="15">
        <f>VLOOKUP(AE$66, 'Debt Service'!$A$11:$AB$47, 'Debt Service'!$AB$6, FALSE)</f>
        <v>0</v>
      </c>
      <c r="AF70" s="15">
        <f>VLOOKUP(AF$66, 'Debt Service'!$A$11:$AB$47, 'Debt Service'!$AB$6, FALSE)</f>
        <v>0</v>
      </c>
      <c r="AG70" s="15">
        <f>VLOOKUP(AG$66, 'Debt Service'!$A$11:$AB$47, 'Debt Service'!$AB$6, FALSE)</f>
        <v>0</v>
      </c>
      <c r="AH70" s="15">
        <f>VLOOKUP(AH$66, 'Debt Service'!$A$11:$AB$47, 'Debt Service'!$AB$6, FALSE)</f>
        <v>0</v>
      </c>
      <c r="AI70" s="15">
        <f>VLOOKUP(AI$66, 'Debt Service'!$A$11:$AB$47, 'Debt Service'!$AB$6, FALSE)</f>
        <v>0</v>
      </c>
      <c r="AJ70" s="15">
        <f>VLOOKUP(AJ$66, 'Debt Service'!$A$11:$AB$47, 'Debt Service'!$AB$6, FALSE)</f>
        <v>0</v>
      </c>
      <c r="AK70" s="15">
        <f>VLOOKUP(AK$66, 'Debt Service'!$A$11:$AB$47, 'Debt Service'!$AB$6, FALSE)</f>
        <v>0</v>
      </c>
      <c r="AL70" s="15">
        <f>VLOOKUP(AL$66, 'Debt Service'!$A$11:$AB$47, 'Debt Service'!$AB$6, FALSE)</f>
        <v>0</v>
      </c>
      <c r="AM70" s="15">
        <f>VLOOKUP(AM$66, 'Debt Service'!$A$11:$AB$47, 'Debt Service'!$AB$6, FALSE)</f>
        <v>0</v>
      </c>
      <c r="AN70" s="29">
        <f t="shared" si="86"/>
        <v>125000000</v>
      </c>
      <c r="AO70" s="29"/>
      <c r="AP70" s="10">
        <f t="shared" si="87"/>
        <v>5</v>
      </c>
      <c r="AQ70" s="73">
        <f t="shared" si="88"/>
        <v>0</v>
      </c>
    </row>
    <row r="71" spans="1:43" outlineLevel="1">
      <c r="A71" s="132" t="str">
        <f>'Debt Service'!AV52</f>
        <v>2007 Series</v>
      </c>
      <c r="B71" s="46"/>
      <c r="C71" s="15">
        <f>VLOOKUP(C$66, 'Debt Service'!$A$11:$AV$47, 'Debt Service'!$AV$6, FALSE)</f>
        <v>0</v>
      </c>
      <c r="D71" s="15">
        <f>VLOOKUP(D$66, 'Debt Service'!$A$11:$AV$47, 'Debt Service'!$AV$6, FALSE)</f>
        <v>0</v>
      </c>
      <c r="E71" s="15">
        <f>VLOOKUP(E$66, 'Debt Service'!$A$11:$AV$47, 'Debt Service'!$AV$6, FALSE)</f>
        <v>0</v>
      </c>
      <c r="F71" s="15">
        <f>VLOOKUP(F$66, 'Debt Service'!$A$11:$AV$47, 'Debt Service'!$AV$6, FALSE)</f>
        <v>0</v>
      </c>
      <c r="G71" s="15">
        <f>VLOOKUP(G$66, 'Debt Service'!$A$11:$AV$47, 'Debt Service'!$AV$6, FALSE)</f>
        <v>0</v>
      </c>
      <c r="H71" s="15">
        <f>VLOOKUP(H$66, 'Debt Service'!$A$11:$AV$47, 'Debt Service'!$AV$6, FALSE)</f>
        <v>0</v>
      </c>
      <c r="I71" s="15">
        <f>VLOOKUP(I$66, 'Debt Service'!$A$11:$AV$47, 'Debt Service'!$AV$6, FALSE)</f>
        <v>0</v>
      </c>
      <c r="J71" s="15">
        <f>VLOOKUP(J$66, 'Debt Service'!$A$11:$AV$47, 'Debt Service'!$AV$6, FALSE)</f>
        <v>0</v>
      </c>
      <c r="K71" s="15">
        <f>VLOOKUP(K$66, 'Debt Service'!$A$11:$AV$47, 'Debt Service'!$AV$6, FALSE)</f>
        <v>0</v>
      </c>
      <c r="L71" s="15">
        <f>VLOOKUP(L$66, 'Debt Service'!$A$11:$AV$47, 'Debt Service'!$AV$6, FALSE)</f>
        <v>0</v>
      </c>
      <c r="M71" s="15">
        <f>VLOOKUP(M$66, 'Debt Service'!$A$11:$AV$47, 'Debt Service'!$AV$6, FALSE)</f>
        <v>0</v>
      </c>
      <c r="N71" s="15">
        <f>VLOOKUP(N$66, 'Debt Service'!$A$11:$AV$47, 'Debt Service'!$AV$6, FALSE)</f>
        <v>0</v>
      </c>
      <c r="O71" s="15">
        <f>VLOOKUP(O$66, 'Debt Service'!$A$11:$AV$47, 'Debt Service'!$AV$6, FALSE)</f>
        <v>0</v>
      </c>
      <c r="P71" s="15">
        <f>VLOOKUP(P$66, 'Debt Service'!$A$11:$AV$47, 'Debt Service'!$AV$6, FALSE)</f>
        <v>60000000</v>
      </c>
      <c r="Q71" s="15">
        <f>VLOOKUP(Q$66, 'Debt Service'!$A$11:$AV$47, 'Debt Service'!$AV$6, FALSE)</f>
        <v>0</v>
      </c>
      <c r="R71" s="15">
        <f>VLOOKUP(R$66, 'Debt Service'!$A$11:$AV$47, 'Debt Service'!$AV$6, FALSE)</f>
        <v>0</v>
      </c>
      <c r="S71" s="15">
        <f>VLOOKUP(S$66, 'Debt Service'!$A$11:$AV$47, 'Debt Service'!$AV$6, FALSE)</f>
        <v>0</v>
      </c>
      <c r="T71" s="15">
        <f>VLOOKUP(T$66, 'Debt Service'!$A$11:$AV$47, 'Debt Service'!$AV$6, FALSE)</f>
        <v>0</v>
      </c>
      <c r="U71" s="15">
        <f>VLOOKUP(U$66, 'Debt Service'!$A$11:$AV$47, 'Debt Service'!$AV$6, FALSE)</f>
        <v>50000000</v>
      </c>
      <c r="V71" s="15">
        <f>VLOOKUP(V$66, 'Debt Service'!$A$11:$AV$47, 'Debt Service'!$AV$6, FALSE)</f>
        <v>0</v>
      </c>
      <c r="W71" s="15">
        <f>VLOOKUP(W$66, 'Debt Service'!$A$11:$AV$47, 'Debt Service'!$AV$6, FALSE)</f>
        <v>0</v>
      </c>
      <c r="X71" s="15">
        <f>VLOOKUP(X$66, 'Debt Service'!$A$11:$AV$47, 'Debt Service'!$AV$6, FALSE)</f>
        <v>0</v>
      </c>
      <c r="Y71" s="15">
        <f>VLOOKUP(Y$66, 'Debt Service'!$A$11:$AV$47, 'Debt Service'!$AV$6, FALSE)</f>
        <v>0</v>
      </c>
      <c r="Z71" s="15">
        <f>VLOOKUP(Z$66, 'Debt Service'!$A$11:$AV$47, 'Debt Service'!$AV$6, FALSE)</f>
        <v>0</v>
      </c>
      <c r="AA71" s="15">
        <f>VLOOKUP(AA$66, 'Debt Service'!$A$11:$AV$47, 'Debt Service'!$AV$6, FALSE)</f>
        <v>0</v>
      </c>
      <c r="AB71" s="15">
        <f>VLOOKUP(AB$66, 'Debt Service'!$A$11:$AV$47, 'Debt Service'!$AV$6, FALSE)</f>
        <v>0</v>
      </c>
      <c r="AC71" s="15">
        <f>VLOOKUP(AC$66, 'Debt Service'!$A$11:$AV$47, 'Debt Service'!$AV$6, FALSE)</f>
        <v>0</v>
      </c>
      <c r="AD71" s="15">
        <f>VLOOKUP(AD$66, 'Debt Service'!$A$11:$AV$47, 'Debt Service'!$AV$6, FALSE)</f>
        <v>0</v>
      </c>
      <c r="AE71" s="15">
        <f>VLOOKUP(AE$66, 'Debt Service'!$A$11:$AV$47, 'Debt Service'!$AV$6, FALSE)</f>
        <v>0</v>
      </c>
      <c r="AF71" s="15">
        <f>VLOOKUP(AF$66, 'Debt Service'!$A$11:$AV$47, 'Debt Service'!$AV$6, FALSE)</f>
        <v>0</v>
      </c>
      <c r="AG71" s="15">
        <f>VLOOKUP(AG$66, 'Debt Service'!$A$11:$AV$47, 'Debt Service'!$AV$6, FALSE)</f>
        <v>0</v>
      </c>
      <c r="AH71" s="15">
        <f>VLOOKUP(AH$66, 'Debt Service'!$A$11:$AV$47, 'Debt Service'!$AV$6, FALSE)</f>
        <v>0</v>
      </c>
      <c r="AI71" s="15">
        <f>VLOOKUP(AI$66, 'Debt Service'!$A$11:$AV$47, 'Debt Service'!$AV$6, FALSE)</f>
        <v>0</v>
      </c>
      <c r="AJ71" s="15">
        <f>VLOOKUP(AJ$66, 'Debt Service'!$A$11:$AV$47, 'Debt Service'!$AV$6, FALSE)</f>
        <v>0</v>
      </c>
      <c r="AK71" s="15">
        <f>VLOOKUP(AK$66, 'Debt Service'!$A$11:$AV$47, 'Debt Service'!$AV$6, FALSE)</f>
        <v>0</v>
      </c>
      <c r="AL71" s="15">
        <f>VLOOKUP(AL$66, 'Debt Service'!$A$11:$AV$47, 'Debt Service'!$AV$6, FALSE)</f>
        <v>0</v>
      </c>
      <c r="AM71" s="15">
        <f>VLOOKUP(AM$66, 'Debt Service'!$A$11:$AV$47, 'Debt Service'!$AV$6, FALSE)</f>
        <v>0</v>
      </c>
      <c r="AN71" s="29">
        <f t="shared" si="86"/>
        <v>110000000</v>
      </c>
      <c r="AO71" s="29"/>
      <c r="AP71" s="10">
        <f t="shared" si="87"/>
        <v>6</v>
      </c>
      <c r="AQ71" s="73">
        <f t="shared" si="88"/>
        <v>0</v>
      </c>
    </row>
    <row r="72" spans="1:43" outlineLevel="1">
      <c r="A72" s="132" t="str">
        <f>'Debt Service'!BK52</f>
        <v>2018 Series</v>
      </c>
      <c r="B72" s="46"/>
      <c r="C72" s="15">
        <f>VLOOKUP(C$66, 'Debt Service'!$A$11:$BL$47, 'Debt Service'!$BK$6, FALSE)</f>
        <v>0</v>
      </c>
      <c r="D72" s="15">
        <f>VLOOKUP(D$66, 'Debt Service'!$A$11:$BL$47, 'Debt Service'!$BK$6, FALSE)</f>
        <v>0</v>
      </c>
      <c r="E72" s="15">
        <f>VLOOKUP(E$66, 'Debt Service'!$A$11:$BL$47, 'Debt Service'!$BK$6, FALSE)</f>
        <v>0</v>
      </c>
      <c r="F72" s="15">
        <f>VLOOKUP(F$66, 'Debt Service'!$A$11:$BL$47, 'Debt Service'!$BK$6, FALSE)</f>
        <v>0</v>
      </c>
      <c r="G72" s="15">
        <f>VLOOKUP(G$66, 'Debt Service'!$A$11:$BL$47, 'Debt Service'!$BK$6, FALSE)</f>
        <v>0</v>
      </c>
      <c r="H72" s="15">
        <f>VLOOKUP(H$66, 'Debt Service'!$A$11:$BL$47, 'Debt Service'!$BK$6, FALSE)</f>
        <v>0</v>
      </c>
      <c r="I72" s="15">
        <f>VLOOKUP(I$66, 'Debt Service'!$A$11:$BL$47, 'Debt Service'!$BK$6, FALSE)</f>
        <v>0</v>
      </c>
      <c r="J72" s="15">
        <f>VLOOKUP(J$66, 'Debt Service'!$A$11:$BL$47, 'Debt Service'!$BK$6, FALSE)</f>
        <v>0</v>
      </c>
      <c r="K72" s="15">
        <f>VLOOKUP(K$66, 'Debt Service'!$A$11:$BL$47, 'Debt Service'!$BK$6, FALSE)</f>
        <v>0</v>
      </c>
      <c r="L72" s="15">
        <f>VLOOKUP(L$66, 'Debt Service'!$A$11:$BL$47, 'Debt Service'!$BK$6, FALSE)</f>
        <v>10000000</v>
      </c>
      <c r="M72" s="15">
        <f>VLOOKUP(M$66, 'Debt Service'!$A$11:$BL$47, 'Debt Service'!$BK$6, FALSE)</f>
        <v>0</v>
      </c>
      <c r="N72" s="15">
        <f>VLOOKUP(N$66, 'Debt Service'!$A$11:$BL$47, 'Debt Service'!$BK$6, FALSE)</f>
        <v>0</v>
      </c>
      <c r="O72" s="15">
        <f>VLOOKUP(O$66, 'Debt Service'!$A$11:$BL$47, 'Debt Service'!$BK$6, FALSE)</f>
        <v>0</v>
      </c>
      <c r="P72" s="15">
        <f>VLOOKUP(P$66, 'Debt Service'!$A$11:$BL$47, 'Debt Service'!$BK$6, FALSE)</f>
        <v>0</v>
      </c>
      <c r="Q72" s="15">
        <f>VLOOKUP(Q$66, 'Debt Service'!$A$11:$BL$47, 'Debt Service'!$BK$6, FALSE)</f>
        <v>0</v>
      </c>
      <c r="R72" s="15">
        <f>VLOOKUP(R$66, 'Debt Service'!$A$11:$BL$47, 'Debt Service'!$BK$6, FALSE)</f>
        <v>0</v>
      </c>
      <c r="S72" s="15">
        <f>VLOOKUP(S$66, 'Debt Service'!$A$11:$BL$47, 'Debt Service'!$BK$6, FALSE)</f>
        <v>0</v>
      </c>
      <c r="T72" s="15">
        <f>VLOOKUP(T$66, 'Debt Service'!$A$11:$BL$47, 'Debt Service'!$BK$6, FALSE)</f>
        <v>0</v>
      </c>
      <c r="U72" s="15">
        <f>VLOOKUP(U$66, 'Debt Service'!$A$11:$BL$47, 'Debt Service'!$BK$6, FALSE)</f>
        <v>0</v>
      </c>
      <c r="V72" s="15">
        <f>VLOOKUP(V$66, 'Debt Service'!$A$11:$BL$47, 'Debt Service'!$BK$6, FALSE)</f>
        <v>0</v>
      </c>
      <c r="W72" s="15">
        <f>VLOOKUP(W$66, 'Debt Service'!$A$11:$BL$47, 'Debt Service'!$BK$6, FALSE)</f>
        <v>0</v>
      </c>
      <c r="X72" s="15">
        <f>VLOOKUP(X$66, 'Debt Service'!$A$11:$BL$47, 'Debt Service'!$BK$6, FALSE)</f>
        <v>0</v>
      </c>
      <c r="Y72" s="15">
        <f>VLOOKUP(Y$66, 'Debt Service'!$A$11:$BL$47, 'Debt Service'!$BK$6, FALSE)</f>
        <v>0</v>
      </c>
      <c r="Z72" s="15">
        <f>VLOOKUP(Z$66, 'Debt Service'!$A$11:$BL$47, 'Debt Service'!$BK$6, FALSE)</f>
        <v>0</v>
      </c>
      <c r="AA72" s="15">
        <f>VLOOKUP(AA$66, 'Debt Service'!$A$11:$BL$47, 'Debt Service'!$BK$6, FALSE)</f>
        <v>105000000</v>
      </c>
      <c r="AB72" s="15">
        <f>VLOOKUP(AB$66, 'Debt Service'!$A$11:$BL$47, 'Debt Service'!$BK$6, FALSE)</f>
        <v>0</v>
      </c>
      <c r="AC72" s="15">
        <f>VLOOKUP(AC$66, 'Debt Service'!$A$11:$BL$47, 'Debt Service'!$BK$6, FALSE)</f>
        <v>0</v>
      </c>
      <c r="AD72" s="15">
        <f>VLOOKUP(AD$66, 'Debt Service'!$A$11:$BL$47, 'Debt Service'!$BK$6, FALSE)</f>
        <v>0</v>
      </c>
      <c r="AE72" s="15">
        <f>VLOOKUP(AE$66, 'Debt Service'!$A$11:$BL$47, 'Debt Service'!$BK$6, FALSE)</f>
        <v>0</v>
      </c>
      <c r="AF72" s="15">
        <f>VLOOKUP(AF$66, 'Debt Service'!$A$11:$BL$47, 'Debt Service'!$BK$6, FALSE)</f>
        <v>0</v>
      </c>
      <c r="AG72" s="15">
        <f>VLOOKUP(AG$66, 'Debt Service'!$A$11:$BL$47, 'Debt Service'!$BK$6, FALSE)</f>
        <v>0</v>
      </c>
      <c r="AH72" s="15">
        <f>VLOOKUP(AH$66, 'Debt Service'!$A$11:$BL$47, 'Debt Service'!$BK$6, FALSE)</f>
        <v>0</v>
      </c>
      <c r="AI72" s="15">
        <f>VLOOKUP(AI$66, 'Debt Service'!$A$11:$BL$47, 'Debt Service'!$BK$6, FALSE)</f>
        <v>0</v>
      </c>
      <c r="AJ72" s="15">
        <f>VLOOKUP(AJ$66, 'Debt Service'!$A$11:$BL$47, 'Debt Service'!$BK$6, FALSE)</f>
        <v>0</v>
      </c>
      <c r="AK72" s="15">
        <f>VLOOKUP(AK$66, 'Debt Service'!$A$11:$BL$47, 'Debt Service'!$BK$6, FALSE)</f>
        <v>0</v>
      </c>
      <c r="AL72" s="15">
        <f>VLOOKUP(AL$66, 'Debt Service'!$A$11:$BL$47, 'Debt Service'!$BK$6, FALSE)</f>
        <v>0</v>
      </c>
      <c r="AM72" s="15">
        <f>VLOOKUP(AM$66, 'Debt Service'!$A$11:$BL$47, 'Debt Service'!$BK$6, FALSE)</f>
        <v>0</v>
      </c>
      <c r="AN72" s="29">
        <f t="shared" si="86"/>
        <v>115000000</v>
      </c>
      <c r="AO72" s="29"/>
      <c r="AP72" s="10">
        <f t="shared" si="87"/>
        <v>7</v>
      </c>
      <c r="AQ72" s="73">
        <f t="shared" si="88"/>
        <v>0</v>
      </c>
    </row>
    <row r="73" spans="1:43" outlineLevel="1">
      <c r="A73" s="132" t="str">
        <f>'Debt Service'!BV52</f>
        <v>2020 BCD Series</v>
      </c>
      <c r="B73" s="46"/>
      <c r="C73" s="15">
        <f>VLOOKUP(C$66, 'Debt Service'!$A$11:$BV$47, 'Debt Service'!$BV$6, FALSE)</f>
        <v>50000000</v>
      </c>
      <c r="D73" s="15">
        <f>VLOOKUP(D$66, 'Debt Service'!$A$11:$BV$47, 'Debt Service'!$BV$6, FALSE)</f>
        <v>0</v>
      </c>
      <c r="E73" s="15">
        <f>VLOOKUP(E$66, 'Debt Service'!$A$11:$BV$47, 'Debt Service'!$BV$6, FALSE)</f>
        <v>0</v>
      </c>
      <c r="F73" s="15">
        <f>VLOOKUP(F$66, 'Debt Service'!$A$11:$BV$47, 'Debt Service'!$BV$6, FALSE)</f>
        <v>0</v>
      </c>
      <c r="G73" s="15">
        <f>VLOOKUP(G$66, 'Debt Service'!$A$11:$BV$47, 'Debt Service'!$BV$6, FALSE)</f>
        <v>0</v>
      </c>
      <c r="H73" s="15">
        <f>VLOOKUP(H$66, 'Debt Service'!$A$11:$BV$47, 'Debt Service'!$BV$6, FALSE)</f>
        <v>0</v>
      </c>
      <c r="I73" s="15">
        <f>VLOOKUP(I$66, 'Debt Service'!$A$11:$BV$47, 'Debt Service'!$BV$6, FALSE)</f>
        <v>0</v>
      </c>
      <c r="J73" s="15">
        <f>VLOOKUP(J$66, 'Debt Service'!$A$11:$BV$47, 'Debt Service'!$BV$6, FALSE)</f>
        <v>0</v>
      </c>
      <c r="K73" s="15">
        <f>VLOOKUP(K$66, 'Debt Service'!$A$11:$BV$47, 'Debt Service'!$BV$6, FALSE)</f>
        <v>0</v>
      </c>
      <c r="L73" s="15">
        <f>VLOOKUP(L$66, 'Debt Service'!$A$11:$BV$47, 'Debt Service'!$BV$6, FALSE)</f>
        <v>0</v>
      </c>
      <c r="M73" s="15">
        <f>VLOOKUP(M$66, 'Debt Service'!$A$11:$BV$47, 'Debt Service'!$BV$6, FALSE)</f>
        <v>0</v>
      </c>
      <c r="N73" s="15">
        <f>VLOOKUP(N$66, 'Debt Service'!$A$11:$BV$47, 'Debt Service'!$BV$6, FALSE)</f>
        <v>0</v>
      </c>
      <c r="O73" s="15">
        <f>VLOOKUP(O$66, 'Debt Service'!$A$11:$BV$47, 'Debt Service'!$BV$6, FALSE)</f>
        <v>0</v>
      </c>
      <c r="P73" s="15">
        <f>VLOOKUP(P$66, 'Debt Service'!$A$11:$BV$47, 'Debt Service'!$BV$6, FALSE)</f>
        <v>0</v>
      </c>
      <c r="Q73" s="15">
        <f>VLOOKUP(Q$66, 'Debt Service'!$A$11:$BV$47, 'Debt Service'!$BV$6, FALSE)</f>
        <v>0</v>
      </c>
      <c r="R73" s="15">
        <f>VLOOKUP(R$66, 'Debt Service'!$A$11:$BV$47, 'Debt Service'!$BV$6, FALSE)</f>
        <v>0</v>
      </c>
      <c r="S73" s="15">
        <f>VLOOKUP(S$66, 'Debt Service'!$A$11:$BV$47, 'Debt Service'!$BV$6, FALSE)</f>
        <v>0</v>
      </c>
      <c r="T73" s="15">
        <f>VLOOKUP(T$66, 'Debt Service'!$A$11:$BV$47, 'Debt Service'!$BV$6, FALSE)</f>
        <v>0</v>
      </c>
      <c r="U73" s="15">
        <f>VLOOKUP(U$66, 'Debt Service'!$A$11:$BV$47, 'Debt Service'!$BV$6, FALSE)</f>
        <v>0</v>
      </c>
      <c r="V73" s="15">
        <f>VLOOKUP(V$66, 'Debt Service'!$A$11:$BV$47, 'Debt Service'!$BV$6, FALSE)</f>
        <v>0</v>
      </c>
      <c r="W73" s="15">
        <f>VLOOKUP(W$66, 'Debt Service'!$A$11:$BV$47, 'Debt Service'!$BV$6, FALSE)</f>
        <v>0</v>
      </c>
      <c r="X73" s="15">
        <f>VLOOKUP(X$66, 'Debt Service'!$A$11:$BV$47, 'Debt Service'!$BV$6, FALSE)</f>
        <v>0</v>
      </c>
      <c r="Y73" s="15">
        <f>VLOOKUP(Y$66, 'Debt Service'!$A$11:$BV$47, 'Debt Service'!$BV$6, FALSE)</f>
        <v>0</v>
      </c>
      <c r="Z73" s="15">
        <f>VLOOKUP(Z$66, 'Debt Service'!$A$11:$BV$47, 'Debt Service'!$BV$6, FALSE)</f>
        <v>0</v>
      </c>
      <c r="AA73" s="15">
        <f>VLOOKUP(AA$66, 'Debt Service'!$A$11:$BV$47, 'Debt Service'!$BV$6, FALSE)</f>
        <v>0</v>
      </c>
      <c r="AB73" s="15">
        <f>VLOOKUP(AB$66, 'Debt Service'!$A$11:$BV$47, 'Debt Service'!$BV$6, FALSE)</f>
        <v>0</v>
      </c>
      <c r="AC73" s="15">
        <f>VLOOKUP(AC$66, 'Debt Service'!$A$11:$BV$47, 'Debt Service'!$BV$6, FALSE)</f>
        <v>0</v>
      </c>
      <c r="AD73" s="15">
        <f>VLOOKUP(AD$66, 'Debt Service'!$A$11:$BV$47, 'Debt Service'!$BV$6, FALSE)</f>
        <v>0</v>
      </c>
      <c r="AE73" s="15">
        <f>VLOOKUP(AE$66, 'Debt Service'!$A$11:$BV$47, 'Debt Service'!$BV$6, FALSE)</f>
        <v>0</v>
      </c>
      <c r="AF73" s="15">
        <f>VLOOKUP(AF$66, 'Debt Service'!$A$11:$BV$47, 'Debt Service'!$BV$6, FALSE)</f>
        <v>0</v>
      </c>
      <c r="AG73" s="15">
        <f>VLOOKUP(AG$66, 'Debt Service'!$A$11:$BV$47, 'Debt Service'!$BV$6, FALSE)</f>
        <v>0</v>
      </c>
      <c r="AH73" s="15">
        <f>VLOOKUP(AH$66, 'Debt Service'!$A$11:$BV$47, 'Debt Service'!$BV$6, FALSE)</f>
        <v>75000000</v>
      </c>
      <c r="AI73" s="15">
        <f>VLOOKUP(AI$66, 'Debt Service'!$A$11:$BV$47, 'Debt Service'!$BV$6, FALSE)</f>
        <v>0</v>
      </c>
      <c r="AJ73" s="15">
        <f>VLOOKUP(AJ$66, 'Debt Service'!$A$11:$BV$47, 'Debt Service'!$BV$6, FALSE)</f>
        <v>0</v>
      </c>
      <c r="AK73" s="15">
        <f>VLOOKUP(AK$66, 'Debt Service'!$A$11:$BV$47, 'Debt Service'!$BV$6, FALSE)</f>
        <v>0</v>
      </c>
      <c r="AL73" s="15">
        <f>VLOOKUP(AL$66, 'Debt Service'!$A$11:$BV$47, 'Debt Service'!$BV$6, FALSE)</f>
        <v>0</v>
      </c>
      <c r="AM73" s="15">
        <f>VLOOKUP(AM$66, 'Debt Service'!$A$11:$BV$47, 'Debt Service'!$BV$6, FALSE)</f>
        <v>0</v>
      </c>
      <c r="AN73" s="29">
        <f t="shared" si="86"/>
        <v>125000000</v>
      </c>
      <c r="AO73" s="29"/>
      <c r="AP73" s="10">
        <f t="shared" si="87"/>
        <v>8</v>
      </c>
      <c r="AQ73" s="73">
        <f t="shared" si="88"/>
        <v>0</v>
      </c>
    </row>
    <row r="74" spans="1:43" outlineLevel="1">
      <c r="A74" s="132" t="str">
        <f>'Debt Service'!BY52</f>
        <v>2021 A Series</v>
      </c>
      <c r="B74" s="46"/>
      <c r="C74" s="15">
        <f>VLOOKUP(C$66, 'Debt Service'!$A$11:$BY$47, 'Debt Service'!$BY$6, FALSE)</f>
        <v>0</v>
      </c>
      <c r="D74" s="15">
        <f>VLOOKUP(D$66, 'Debt Service'!$A$11:$BY$47, 'Debt Service'!$BY$6, FALSE)</f>
        <v>0</v>
      </c>
      <c r="E74" s="15">
        <f>VLOOKUP(E$66, 'Debt Service'!$A$11:$BY$47, 'Debt Service'!$BY$6, FALSE)</f>
        <v>0</v>
      </c>
      <c r="F74" s="15">
        <f>VLOOKUP(F$66, 'Debt Service'!$A$11:$BY$47, 'Debt Service'!$BY$6, FALSE)</f>
        <v>0</v>
      </c>
      <c r="G74" s="15">
        <f>VLOOKUP(G$66, 'Debt Service'!$A$11:$BY$47, 'Debt Service'!$BY$6, FALSE)</f>
        <v>0</v>
      </c>
      <c r="H74" s="15">
        <f>VLOOKUP(H$66, 'Debt Service'!$A$11:$BY$47, 'Debt Service'!$BY$6, FALSE)</f>
        <v>45000000</v>
      </c>
      <c r="I74" s="15">
        <f>VLOOKUP(I$66, 'Debt Service'!$A$11:$BY$47, 'Debt Service'!$BY$6, FALSE)</f>
        <v>0</v>
      </c>
      <c r="J74" s="15">
        <f>VLOOKUP(J$66, 'Debt Service'!$A$11:$BY$47, 'Debt Service'!$BY$6, FALSE)</f>
        <v>0</v>
      </c>
      <c r="K74" s="15">
        <f>VLOOKUP(K$66, 'Debt Service'!$A$11:$BY$47, 'Debt Service'!$BY$6, FALSE)</f>
        <v>0</v>
      </c>
      <c r="L74" s="15">
        <f>VLOOKUP(L$66, 'Debt Service'!$A$11:$BY$47, 'Debt Service'!$BY$6, FALSE)</f>
        <v>0</v>
      </c>
      <c r="M74" s="15">
        <f>VLOOKUP(M$66, 'Debt Service'!$A$11:$BY$47, 'Debt Service'!$BY$6, FALSE)</f>
        <v>0</v>
      </c>
      <c r="N74" s="15">
        <f>VLOOKUP(N$66, 'Debt Service'!$A$11:$BY$47, 'Debt Service'!$BY$6, FALSE)</f>
        <v>0</v>
      </c>
      <c r="O74" s="15">
        <f>VLOOKUP(O$66, 'Debt Service'!$A$11:$BY$47, 'Debt Service'!$BY$6, FALSE)</f>
        <v>0</v>
      </c>
      <c r="P74" s="15">
        <f>VLOOKUP(P$66, 'Debt Service'!$A$11:$BY$47, 'Debt Service'!$BY$6, FALSE)</f>
        <v>0</v>
      </c>
      <c r="Q74" s="15">
        <f>VLOOKUP(Q$66, 'Debt Service'!$A$11:$BY$47, 'Debt Service'!$BY$6, FALSE)</f>
        <v>0</v>
      </c>
      <c r="R74" s="15">
        <f>VLOOKUP(R$66, 'Debt Service'!$A$11:$BY$47, 'Debt Service'!$BY$6, FALSE)</f>
        <v>0</v>
      </c>
      <c r="S74" s="15">
        <f>VLOOKUP(S$66, 'Debt Service'!$A$11:$BY$47, 'Debt Service'!$BY$6, FALSE)</f>
        <v>0</v>
      </c>
      <c r="T74" s="15">
        <f>VLOOKUP(T$66, 'Debt Service'!$A$11:$BY$47, 'Debt Service'!$BY$6, FALSE)</f>
        <v>0</v>
      </c>
      <c r="U74" s="15">
        <f>VLOOKUP(U$66, 'Debt Service'!$A$11:$BY$47, 'Debt Service'!$BY$6, FALSE)</f>
        <v>0</v>
      </c>
      <c r="V74" s="15">
        <f>VLOOKUP(V$66, 'Debt Service'!$A$11:$BY$47, 'Debt Service'!$BY$6, FALSE)</f>
        <v>0</v>
      </c>
      <c r="W74" s="15">
        <f>VLOOKUP(W$66, 'Debt Service'!$A$11:$BY$47, 'Debt Service'!$BY$6, FALSE)</f>
        <v>0</v>
      </c>
      <c r="X74" s="15">
        <f>VLOOKUP(X$66, 'Debt Service'!$A$11:$BY$47, 'Debt Service'!$BY$6, FALSE)</f>
        <v>0</v>
      </c>
      <c r="Y74" s="15">
        <f>VLOOKUP(Y$66, 'Debt Service'!$A$11:$BY$47, 'Debt Service'!$BY$6, FALSE)</f>
        <v>0</v>
      </c>
      <c r="Z74" s="15">
        <f>VLOOKUP(Z$66, 'Debt Service'!$A$11:$BY$47, 'Debt Service'!$BY$6, FALSE)</f>
        <v>0</v>
      </c>
      <c r="AA74" s="15">
        <f>VLOOKUP(AA$66, 'Debt Service'!$A$11:$BY$47, 'Debt Service'!$BY$6, FALSE)</f>
        <v>0</v>
      </c>
      <c r="AB74" s="15">
        <f>VLOOKUP(AB$66, 'Debt Service'!$A$11:$BY$47, 'Debt Service'!$BY$6, FALSE)</f>
        <v>0</v>
      </c>
      <c r="AC74" s="15">
        <f>VLOOKUP(AC$66, 'Debt Service'!$A$11:$BY$47, 'Debt Service'!$BY$6, FALSE)</f>
        <v>0</v>
      </c>
      <c r="AD74" s="15">
        <f>VLOOKUP(AD$66, 'Debt Service'!$A$11:$BY$47, 'Debt Service'!$BY$6, FALSE)</f>
        <v>0</v>
      </c>
      <c r="AE74" s="15">
        <f>VLOOKUP(AE$66, 'Debt Service'!$A$11:$BY$47, 'Debt Service'!$BY$6, FALSE)</f>
        <v>0</v>
      </c>
      <c r="AF74" s="15">
        <f>VLOOKUP(AF$66, 'Debt Service'!$A$11:$BY$47, 'Debt Service'!$BY$6, FALSE)</f>
        <v>0</v>
      </c>
      <c r="AG74" s="15">
        <f>VLOOKUP(AG$66, 'Debt Service'!$A$11:$BY$47, 'Debt Service'!$BY$6, FALSE)</f>
        <v>0</v>
      </c>
      <c r="AH74" s="15">
        <f>VLOOKUP(AH$66, 'Debt Service'!$A$11:$BY$47, 'Debt Service'!$BY$6, FALSE)</f>
        <v>0</v>
      </c>
      <c r="AI74" s="15">
        <f>VLOOKUP(AI$66, 'Debt Service'!$A$11:$BY$47, 'Debt Service'!$BY$6, FALSE)</f>
        <v>0</v>
      </c>
      <c r="AJ74" s="15">
        <f>VLOOKUP(AJ$66, 'Debt Service'!$A$11:$BY$47, 'Debt Service'!$BY$6, FALSE)</f>
        <v>0</v>
      </c>
      <c r="AK74" s="15">
        <f>VLOOKUP(AK$66, 'Debt Service'!$A$11:$BY$47, 'Debt Service'!$BY$6, FALSE)</f>
        <v>0</v>
      </c>
      <c r="AL74" s="15">
        <f>VLOOKUP(AL$66, 'Debt Service'!$A$11:$BY$47, 'Debt Service'!$BY$6, FALSE)</f>
        <v>0</v>
      </c>
      <c r="AM74" s="15">
        <f>VLOOKUP(AM$66, 'Debt Service'!$A$11:$BY$47, 'Debt Service'!$BY$6, FALSE)</f>
        <v>0</v>
      </c>
      <c r="AN74" s="29">
        <f t="shared" si="86"/>
        <v>45000000</v>
      </c>
      <c r="AO74" s="29"/>
      <c r="AP74" s="10">
        <f t="shared" si="87"/>
        <v>9</v>
      </c>
      <c r="AQ74" s="73">
        <f t="shared" si="88"/>
        <v>0</v>
      </c>
    </row>
    <row r="75" spans="1:43" s="58" customFormat="1" outlineLevel="1">
      <c r="A75" s="132" t="str">
        <f>'Debt Service'!CC52</f>
        <v>2022 A Series</v>
      </c>
      <c r="B75" s="46"/>
      <c r="C75" s="15">
        <f>VLOOKUP(C$66, 'Debt Service'!$A$11:$CC$47, 'Debt Service'!$CC$6, FALSE)</f>
        <v>0</v>
      </c>
      <c r="D75" s="15">
        <f>VLOOKUP(D$66, 'Debt Service'!$A$11:$CC$47, 'Debt Service'!$CC$6, FALSE)</f>
        <v>0</v>
      </c>
      <c r="E75" s="15">
        <f>VLOOKUP(E$66, 'Debt Service'!$A$11:$CC$47, 'Debt Service'!$CC$6, FALSE)</f>
        <v>0</v>
      </c>
      <c r="F75" s="15">
        <f>VLOOKUP(F$66, 'Debt Service'!$A$11:$CC$47, 'Debt Service'!$CC$6, FALSE)</f>
        <v>0</v>
      </c>
      <c r="G75" s="15">
        <f>VLOOKUP(G$66, 'Debt Service'!$A$11:$CC$47, 'Debt Service'!$CC$6, FALSE)</f>
        <v>0</v>
      </c>
      <c r="H75" s="15">
        <f>VLOOKUP(H$66, 'Debt Service'!$A$11:$CC$47, 'Debt Service'!$CC$6, FALSE)</f>
        <v>0</v>
      </c>
      <c r="I75" s="15">
        <f>VLOOKUP(I$66, 'Debt Service'!$A$11:$CC$47, 'Debt Service'!$CC$6, FALSE)</f>
        <v>5000000</v>
      </c>
      <c r="J75" s="15">
        <f>VLOOKUP(J$66, 'Debt Service'!$A$11:$CC$47, 'Debt Service'!$CC$6, FALSE)</f>
        <v>0</v>
      </c>
      <c r="K75" s="15">
        <f>VLOOKUP(K$66, 'Debt Service'!$A$11:$CC$47, 'Debt Service'!$CC$6, FALSE)</f>
        <v>0</v>
      </c>
      <c r="L75" s="15">
        <f>VLOOKUP(L$66, 'Debt Service'!$A$11:$CC$47, 'Debt Service'!$CC$6, FALSE)</f>
        <v>0</v>
      </c>
      <c r="M75" s="15">
        <f>VLOOKUP(M$66, 'Debt Service'!$A$11:$CC$47, 'Debt Service'!$CC$6, FALSE)</f>
        <v>0</v>
      </c>
      <c r="N75" s="15">
        <f>VLOOKUP(N$66, 'Debt Service'!$A$11:$CC$47, 'Debt Service'!$CC$6, FALSE)</f>
        <v>0</v>
      </c>
      <c r="O75" s="15">
        <f>VLOOKUP(O$66, 'Debt Service'!$A$11:$CC$47, 'Debt Service'!$CC$6, FALSE)</f>
        <v>0</v>
      </c>
      <c r="P75" s="15">
        <f>VLOOKUP(P$66, 'Debt Service'!$A$11:$CC$47, 'Debt Service'!$CC$6, FALSE)</f>
        <v>0</v>
      </c>
      <c r="Q75" s="15">
        <f>VLOOKUP(Q$66, 'Debt Service'!$A$11:$CC$47, 'Debt Service'!$CC$6, FALSE)</f>
        <v>0</v>
      </c>
      <c r="R75" s="15">
        <f>VLOOKUP(R$66, 'Debt Service'!$A$11:$CC$47, 'Debt Service'!$CC$6, FALSE)</f>
        <v>0</v>
      </c>
      <c r="S75" s="15">
        <f>VLOOKUP(S$66, 'Debt Service'!$A$11:$CC$47, 'Debt Service'!$CC$6, FALSE)</f>
        <v>0</v>
      </c>
      <c r="T75" s="15">
        <f>VLOOKUP(T$66, 'Debt Service'!$A$11:$CC$47, 'Debt Service'!$CC$6, FALSE)</f>
        <v>0</v>
      </c>
      <c r="U75" s="15">
        <f>VLOOKUP(U$66, 'Debt Service'!$A$11:$CC$47, 'Debt Service'!$CC$6, FALSE)</f>
        <v>0</v>
      </c>
      <c r="V75" s="15">
        <f>VLOOKUP(V$66, 'Debt Service'!$A$11:$CC$47, 'Debt Service'!$CC$6, FALSE)</f>
        <v>0</v>
      </c>
      <c r="W75" s="15">
        <f>VLOOKUP(W$66, 'Debt Service'!$A$11:$CC$47, 'Debt Service'!$CC$6, FALSE)</f>
        <v>0</v>
      </c>
      <c r="X75" s="15">
        <f>VLOOKUP(X$66, 'Debt Service'!$A$11:$CC$47, 'Debt Service'!$CC$6, FALSE)</f>
        <v>0</v>
      </c>
      <c r="Y75" s="15">
        <f>VLOOKUP(Y$66, 'Debt Service'!$A$11:$CC$47, 'Debt Service'!$CC$6, FALSE)</f>
        <v>0</v>
      </c>
      <c r="Z75" s="15">
        <f>VLOOKUP(Z$66, 'Debt Service'!$A$11:$CC$47, 'Debt Service'!$CC$6, FALSE)</f>
        <v>0</v>
      </c>
      <c r="AA75" s="15">
        <f>VLOOKUP(AA$66, 'Debt Service'!$A$11:$CC$47, 'Debt Service'!$CC$6, FALSE)</f>
        <v>0</v>
      </c>
      <c r="AB75" s="15">
        <f>VLOOKUP(AB$66, 'Debt Service'!$A$11:$CC$47, 'Debt Service'!$CC$6, FALSE)</f>
        <v>0</v>
      </c>
      <c r="AC75" s="15">
        <f>VLOOKUP(AC$66, 'Debt Service'!$A$11:$CC$47, 'Debt Service'!$CC$6, FALSE)</f>
        <v>0</v>
      </c>
      <c r="AD75" s="15">
        <f>VLOOKUP(AD$66, 'Debt Service'!$A$11:$CC$47, 'Debt Service'!$CC$6, FALSE)</f>
        <v>0</v>
      </c>
      <c r="AE75" s="15">
        <f>VLOOKUP(AE$66, 'Debt Service'!$A$11:$CC$47, 'Debt Service'!$CC$6, FALSE)</f>
        <v>0</v>
      </c>
      <c r="AF75" s="15">
        <f>VLOOKUP(AF$66, 'Debt Service'!$A$11:$CC$47, 'Debt Service'!$CC$6, FALSE)</f>
        <v>0</v>
      </c>
      <c r="AG75" s="15">
        <f>VLOOKUP(AG$66, 'Debt Service'!$A$11:$CC$47, 'Debt Service'!$CC$6, FALSE)</f>
        <v>0</v>
      </c>
      <c r="AH75" s="15">
        <f>VLOOKUP(AH$66, 'Debt Service'!$A$11:$CC$47, 'Debt Service'!$CC$6, FALSE)</f>
        <v>0</v>
      </c>
      <c r="AI75" s="15">
        <f>VLOOKUP(AI$66, 'Debt Service'!$A$11:$CC$47, 'Debt Service'!$CC$6, FALSE)</f>
        <v>0</v>
      </c>
      <c r="AJ75" s="15">
        <f>VLOOKUP(AJ$66, 'Debt Service'!$A$11:$CC$47, 'Debt Service'!$CC$6, FALSE)</f>
        <v>0</v>
      </c>
      <c r="AK75" s="15">
        <f>VLOOKUP(AK$66, 'Debt Service'!$A$11:$CC$47, 'Debt Service'!$CC$6, FALSE)</f>
        <v>0</v>
      </c>
      <c r="AL75" s="15">
        <f>VLOOKUP(AL$66, 'Debt Service'!$A$11:$CC$47, 'Debt Service'!$CC$6, FALSE)</f>
        <v>0</v>
      </c>
      <c r="AM75" s="15">
        <f>VLOOKUP(AM$66, 'Debt Service'!$A$11:$CC$47, 'Debt Service'!$CC$6, FALSE)</f>
        <v>0</v>
      </c>
      <c r="AN75" s="29">
        <f t="shared" si="86"/>
        <v>5000000</v>
      </c>
      <c r="AO75" s="57"/>
      <c r="AP75" s="10">
        <f t="shared" si="87"/>
        <v>10</v>
      </c>
      <c r="AQ75" s="73">
        <f t="shared" si="88"/>
        <v>0</v>
      </c>
    </row>
    <row r="76" spans="1:43" s="58" customFormat="1" outlineLevel="1">
      <c r="A76" s="132" t="str">
        <f>'Debt Service'!CG52</f>
        <v>2022 B Series</v>
      </c>
      <c r="B76" s="46"/>
      <c r="C76" s="15">
        <f>VLOOKUP(C$66, 'Debt Service'!$A$11:$CG$47, 'Debt Service'!$CG$6, FALSE)</f>
        <v>0</v>
      </c>
      <c r="D76" s="15">
        <f>VLOOKUP(D$66, 'Debt Service'!$A$11:$CG$47, 'Debt Service'!$CG$6, FALSE)</f>
        <v>0</v>
      </c>
      <c r="E76" s="15">
        <f>VLOOKUP(E$66, 'Debt Service'!$A$11:$CG$47, 'Debt Service'!$CG$6, FALSE)</f>
        <v>0</v>
      </c>
      <c r="F76" s="15">
        <f>VLOOKUP(F$66, 'Debt Service'!$A$11:$CG$47, 'Debt Service'!$CG$6, FALSE)</f>
        <v>0</v>
      </c>
      <c r="G76" s="15">
        <f>VLOOKUP(G$66, 'Debt Service'!$A$11:$CG$47, 'Debt Service'!$CG$6, FALSE)</f>
        <v>0</v>
      </c>
      <c r="H76" s="15">
        <f>VLOOKUP(H$66, 'Debt Service'!$A$11:$CG$47, 'Debt Service'!$CG$6, FALSE)</f>
        <v>0</v>
      </c>
      <c r="I76" s="15">
        <f>VLOOKUP(I$66, 'Debt Service'!$A$11:$CG$47, 'Debt Service'!$CG$6, FALSE)</f>
        <v>0</v>
      </c>
      <c r="J76" s="15">
        <f>VLOOKUP(J$66, 'Debt Service'!$A$11:$CG$47, 'Debt Service'!$CG$6, FALSE)</f>
        <v>0</v>
      </c>
      <c r="K76" s="15">
        <f>VLOOKUP(K$66, 'Debt Service'!$A$11:$CG$47, 'Debt Service'!$CG$6, FALSE)</f>
        <v>0</v>
      </c>
      <c r="L76" s="15">
        <f>VLOOKUP(L$66, 'Debt Service'!$A$11:$CG$47, 'Debt Service'!$CG$6, FALSE)</f>
        <v>0</v>
      </c>
      <c r="M76" s="15">
        <f>VLOOKUP(M$66, 'Debt Service'!$A$11:$CG$47, 'Debt Service'!$CG$6, FALSE)</f>
        <v>0</v>
      </c>
      <c r="N76" s="15">
        <f>VLOOKUP(N$66, 'Debt Service'!$A$11:$CG$47, 'Debt Service'!$CG$6, FALSE)</f>
        <v>0</v>
      </c>
      <c r="O76" s="15">
        <f>VLOOKUP(O$66, 'Debt Service'!$A$11:$CG$47, 'Debt Service'!$CG$6, FALSE)</f>
        <v>0</v>
      </c>
      <c r="P76" s="15">
        <f>VLOOKUP(P$66, 'Debt Service'!$A$11:$CG$47, 'Debt Service'!$CG$6, FALSE)</f>
        <v>0</v>
      </c>
      <c r="Q76" s="15">
        <f>VLOOKUP(Q$66, 'Debt Service'!$A$11:$CG$47, 'Debt Service'!$CG$6, FALSE)</f>
        <v>0</v>
      </c>
      <c r="R76" s="15">
        <f>VLOOKUP(R$66, 'Debt Service'!$A$11:$CG$47, 'Debt Service'!$CG$6, FALSE)</f>
        <v>0</v>
      </c>
      <c r="S76" s="15">
        <f>VLOOKUP(S$66, 'Debt Service'!$A$11:$CG$47, 'Debt Service'!$CG$6, FALSE)</f>
        <v>0</v>
      </c>
      <c r="T76" s="15">
        <f>VLOOKUP(T$66, 'Debt Service'!$A$11:$CG$47, 'Debt Service'!$CG$6, FALSE)</f>
        <v>0</v>
      </c>
      <c r="U76" s="15">
        <f>VLOOKUP(U$66, 'Debt Service'!$A$11:$CG$47, 'Debt Service'!$CG$6, FALSE)</f>
        <v>0</v>
      </c>
      <c r="V76" s="15">
        <f>VLOOKUP(V$66, 'Debt Service'!$A$11:$CG$47, 'Debt Service'!$CG$6, FALSE)</f>
        <v>0</v>
      </c>
      <c r="W76" s="15">
        <f>VLOOKUP(W$66, 'Debt Service'!$A$11:$CG$47, 'Debt Service'!$CG$6, FALSE)</f>
        <v>0</v>
      </c>
      <c r="X76" s="15">
        <f>VLOOKUP(X$66, 'Debt Service'!$A$11:$CG$47, 'Debt Service'!$CG$6, FALSE)</f>
        <v>0</v>
      </c>
      <c r="Y76" s="15">
        <f>VLOOKUP(Y$66, 'Debt Service'!$A$11:$CG$47, 'Debt Service'!$CG$6, FALSE)</f>
        <v>0</v>
      </c>
      <c r="Z76" s="15">
        <f>VLOOKUP(Z$66, 'Debt Service'!$A$11:$CG$47, 'Debt Service'!$CG$6, FALSE)</f>
        <v>0</v>
      </c>
      <c r="AA76" s="15">
        <f>VLOOKUP(AA$66, 'Debt Service'!$A$11:$CG$47, 'Debt Service'!$CG$6, FALSE)</f>
        <v>0</v>
      </c>
      <c r="AB76" s="15">
        <f>VLOOKUP(AB$66, 'Debt Service'!$A$11:$CG$47, 'Debt Service'!$CG$6, FALSE)</f>
        <v>0</v>
      </c>
      <c r="AC76" s="15">
        <f>VLOOKUP(AC$66, 'Debt Service'!$A$11:$CG$47, 'Debt Service'!$CG$6, FALSE)</f>
        <v>0</v>
      </c>
      <c r="AD76" s="15">
        <f>VLOOKUP(AD$66, 'Debt Service'!$A$11:$CG$47, 'Debt Service'!$CG$6, FALSE)</f>
        <v>0</v>
      </c>
      <c r="AE76" s="15">
        <f>VLOOKUP(AE$66, 'Debt Service'!$A$11:$CG$47, 'Debt Service'!$CG$6, FALSE)</f>
        <v>0</v>
      </c>
      <c r="AF76" s="15">
        <f>VLOOKUP(AF$66, 'Debt Service'!$A$11:$CG$47, 'Debt Service'!$CG$6, FALSE)</f>
        <v>0</v>
      </c>
      <c r="AG76" s="15">
        <f>VLOOKUP(AG$66, 'Debt Service'!$A$11:$CG$47, 'Debt Service'!$CG$6, FALSE)</f>
        <v>0</v>
      </c>
      <c r="AH76" s="15">
        <f>VLOOKUP(AH$66, 'Debt Service'!$A$11:$CG$47, 'Debt Service'!$CG$6, FALSE)</f>
        <v>0</v>
      </c>
      <c r="AI76" s="15">
        <f>VLOOKUP(AI$66, 'Debt Service'!$A$11:$CG$47, 'Debt Service'!$CG$6, FALSE)</f>
        <v>0</v>
      </c>
      <c r="AJ76" s="15">
        <f>VLOOKUP(AJ$66, 'Debt Service'!$A$11:$CG$47, 'Debt Service'!$CG$6, FALSE)</f>
        <v>75000000</v>
      </c>
      <c r="AK76" s="15">
        <f>VLOOKUP(AK$66, 'Debt Service'!$A$11:$CG$47, 'Debt Service'!$CG$6, FALSE)</f>
        <v>0</v>
      </c>
      <c r="AL76" s="15">
        <f>VLOOKUP(AL$66, 'Debt Service'!$A$11:$CG$47, 'Debt Service'!$CG$6, FALSE)</f>
        <v>0</v>
      </c>
      <c r="AM76" s="15">
        <f>VLOOKUP(AM$66, 'Debt Service'!$A$11:$CG$47, 'Debt Service'!$CG$6, FALSE)</f>
        <v>0</v>
      </c>
      <c r="AN76" s="29">
        <f t="shared" si="86"/>
        <v>75000000</v>
      </c>
      <c r="AO76" s="57"/>
      <c r="AP76" s="10">
        <f t="shared" si="87"/>
        <v>11</v>
      </c>
      <c r="AQ76" s="73">
        <f t="shared" si="88"/>
        <v>0</v>
      </c>
    </row>
    <row r="77" spans="1:43" s="58" customFormat="1" outlineLevel="1">
      <c r="A77" s="132" t="str">
        <f>'Debt Service'!CK52</f>
        <v>2022 C Series</v>
      </c>
      <c r="B77" s="46"/>
      <c r="C77" s="15">
        <f>VLOOKUP(C$66, 'Debt Service'!$A$11:$CK$47, 'Debt Service'!$CK$6, FALSE)</f>
        <v>0</v>
      </c>
      <c r="D77" s="15">
        <f>VLOOKUP(D$66, 'Debt Service'!$A$11:$CK$47, 'Debt Service'!$CK$6, FALSE)</f>
        <v>0</v>
      </c>
      <c r="E77" s="15">
        <f>VLOOKUP(E$66, 'Debt Service'!$A$11:$CK$47, 'Debt Service'!$CK$6, FALSE)</f>
        <v>0</v>
      </c>
      <c r="F77" s="15">
        <f>VLOOKUP(F$66, 'Debt Service'!$A$11:$CK$47, 'Debt Service'!$CK$6, FALSE)</f>
        <v>0</v>
      </c>
      <c r="G77" s="15">
        <f>VLOOKUP(G$66, 'Debt Service'!$A$11:$CK$47, 'Debt Service'!$CK$6, FALSE)</f>
        <v>0</v>
      </c>
      <c r="H77" s="15">
        <f>VLOOKUP(H$66, 'Debt Service'!$A$11:$CK$47, 'Debt Service'!$CK$6, FALSE)</f>
        <v>0</v>
      </c>
      <c r="I77" s="15">
        <f>VLOOKUP(I$66, 'Debt Service'!$A$11:$CK$47, 'Debt Service'!$CK$6, FALSE)</f>
        <v>0</v>
      </c>
      <c r="J77" s="15">
        <f>VLOOKUP(J$66, 'Debt Service'!$A$11:$CK$47, 'Debt Service'!$CK$6, FALSE)</f>
        <v>0</v>
      </c>
      <c r="K77" s="15">
        <f>VLOOKUP(K$66, 'Debt Service'!$A$11:$CK$47, 'Debt Service'!$CK$6, FALSE)</f>
        <v>0</v>
      </c>
      <c r="L77" s="15">
        <f>VLOOKUP(L$66, 'Debt Service'!$A$11:$CK$47, 'Debt Service'!$CK$6, FALSE)</f>
        <v>0</v>
      </c>
      <c r="M77" s="15">
        <f>VLOOKUP(M$66, 'Debt Service'!$A$11:$CK$47, 'Debt Service'!$CK$6, FALSE)</f>
        <v>0</v>
      </c>
      <c r="N77" s="15">
        <f>VLOOKUP(N$66, 'Debt Service'!$A$11:$CK$47, 'Debt Service'!$CK$6, FALSE)</f>
        <v>0</v>
      </c>
      <c r="O77" s="15">
        <f>VLOOKUP(O$66, 'Debt Service'!$A$11:$CK$47, 'Debt Service'!$CK$6, FALSE)</f>
        <v>0</v>
      </c>
      <c r="P77" s="15">
        <f>VLOOKUP(P$66, 'Debt Service'!$A$11:$CK$47, 'Debt Service'!$CK$6, FALSE)</f>
        <v>0</v>
      </c>
      <c r="Q77" s="15">
        <f>VLOOKUP(Q$66, 'Debt Service'!$A$11:$CK$47, 'Debt Service'!$CK$6, FALSE)</f>
        <v>0</v>
      </c>
      <c r="R77" s="15">
        <f>VLOOKUP(R$66, 'Debt Service'!$A$11:$CK$47, 'Debt Service'!$CK$6, FALSE)</f>
        <v>0</v>
      </c>
      <c r="S77" s="15">
        <f>VLOOKUP(S$66, 'Debt Service'!$A$11:$CK$47, 'Debt Service'!$CK$6, FALSE)</f>
        <v>0</v>
      </c>
      <c r="T77" s="15">
        <f>VLOOKUP(T$66, 'Debt Service'!$A$11:$CK$47, 'Debt Service'!$CK$6, FALSE)</f>
        <v>0</v>
      </c>
      <c r="U77" s="15">
        <f>VLOOKUP(U$66, 'Debt Service'!$A$11:$CK$47, 'Debt Service'!$CK$6, FALSE)</f>
        <v>0</v>
      </c>
      <c r="V77" s="15">
        <f>VLOOKUP(V$66, 'Debt Service'!$A$11:$CK$47, 'Debt Service'!$CK$6, FALSE)</f>
        <v>0</v>
      </c>
      <c r="W77" s="15">
        <f>VLOOKUP(W$66, 'Debt Service'!$A$11:$CK$47, 'Debt Service'!$CK$6, FALSE)</f>
        <v>0</v>
      </c>
      <c r="X77" s="15">
        <f>VLOOKUP(X$66, 'Debt Service'!$A$11:$CK$47, 'Debt Service'!$CK$6, FALSE)</f>
        <v>0</v>
      </c>
      <c r="Y77" s="15">
        <f>VLOOKUP(Y$66, 'Debt Service'!$A$11:$CK$47, 'Debt Service'!$CK$6, FALSE)</f>
        <v>0</v>
      </c>
      <c r="Z77" s="15">
        <f>VLOOKUP(Z$66, 'Debt Service'!$A$11:$CK$47, 'Debt Service'!$CK$6, FALSE)</f>
        <v>0</v>
      </c>
      <c r="AA77" s="15">
        <f>VLOOKUP(AA$66, 'Debt Service'!$A$11:$CK$47, 'Debt Service'!$CK$6, FALSE)</f>
        <v>0</v>
      </c>
      <c r="AB77" s="15">
        <f>VLOOKUP(AB$66, 'Debt Service'!$A$11:$CK$47, 'Debt Service'!$CK$6, FALSE)</f>
        <v>0</v>
      </c>
      <c r="AC77" s="15">
        <f>VLOOKUP(AC$66, 'Debt Service'!$A$11:$CK$47, 'Debt Service'!$CK$6, FALSE)</f>
        <v>0</v>
      </c>
      <c r="AD77" s="15">
        <f>VLOOKUP(AD$66, 'Debt Service'!$A$11:$CK$47, 'Debt Service'!$CK$6, FALSE)</f>
        <v>0</v>
      </c>
      <c r="AE77" s="15">
        <f>VLOOKUP(AE$66, 'Debt Service'!$A$11:$CK$47, 'Debt Service'!$CK$6, FALSE)</f>
        <v>0</v>
      </c>
      <c r="AF77" s="15">
        <f>VLOOKUP(AF$66, 'Debt Service'!$A$11:$CK$47, 'Debt Service'!$CK$6, FALSE)</f>
        <v>0</v>
      </c>
      <c r="AG77" s="15">
        <f>VLOOKUP(AG$66, 'Debt Service'!$A$11:$CK$47, 'Debt Service'!$CK$6, FALSE)</f>
        <v>0</v>
      </c>
      <c r="AH77" s="15">
        <f>VLOOKUP(AH$66, 'Debt Service'!$A$11:$CK$47, 'Debt Service'!$CK$6, FALSE)</f>
        <v>0</v>
      </c>
      <c r="AI77" s="15">
        <f>VLOOKUP(AI$66, 'Debt Service'!$A$11:$CK$47, 'Debt Service'!$CK$6, FALSE)</f>
        <v>0</v>
      </c>
      <c r="AJ77" s="15">
        <f>VLOOKUP(AJ$66, 'Debt Service'!$A$11:$CK$47, 'Debt Service'!$CK$6, FALSE)</f>
        <v>75000000</v>
      </c>
      <c r="AK77" s="15">
        <f>VLOOKUP(AK$66, 'Debt Service'!$A$11:$CK$47, 'Debt Service'!$CK$6, FALSE)</f>
        <v>0</v>
      </c>
      <c r="AL77" s="15">
        <f>VLOOKUP(AL$66, 'Debt Service'!$A$11:$CK$47, 'Debt Service'!$CK$6, FALSE)</f>
        <v>0</v>
      </c>
      <c r="AM77" s="15">
        <f>VLOOKUP(AM$66, 'Debt Service'!$A$11:$CK$47, 'Debt Service'!$CK$6, FALSE)</f>
        <v>0</v>
      </c>
      <c r="AN77" s="29">
        <f t="shared" si="86"/>
        <v>75000000</v>
      </c>
      <c r="AO77" s="57"/>
      <c r="AP77" s="10">
        <f t="shared" si="87"/>
        <v>12</v>
      </c>
      <c r="AQ77" s="73">
        <f t="shared" si="88"/>
        <v>0</v>
      </c>
    </row>
    <row r="78" spans="1:43" s="58" customFormat="1" outlineLevel="1">
      <c r="A78" s="132" t="s">
        <v>171</v>
      </c>
      <c r="B78" s="46"/>
      <c r="C78" s="15">
        <f>VLOOKUP(C$66, 'Debt Service'!$A$11:$CR$47, 'Debt Service'!$CR$6, FALSE)</f>
        <v>0</v>
      </c>
      <c r="D78" s="15">
        <f>VLOOKUP(D$66, 'Debt Service'!$A$11:$CR$47, 'Debt Service'!$CR$6, FALSE)</f>
        <v>0</v>
      </c>
      <c r="E78" s="15">
        <f>VLOOKUP(E$66, 'Debt Service'!$A$11:$CR$47, 'Debt Service'!$CR$6, FALSE)</f>
        <v>0</v>
      </c>
      <c r="F78" s="15">
        <f>VLOOKUP(F$66, 'Debt Service'!$A$11:$CR$47, 'Debt Service'!$CR$6, FALSE)</f>
        <v>0</v>
      </c>
      <c r="G78" s="15">
        <f>VLOOKUP(G$66, 'Debt Service'!$A$11:$CR$47, 'Debt Service'!$CR$6, FALSE)</f>
        <v>0</v>
      </c>
      <c r="H78" s="15">
        <f>VLOOKUP(H$66, 'Debt Service'!$A$11:$CR$47, 'Debt Service'!$CR$6, FALSE)</f>
        <v>22000000</v>
      </c>
      <c r="I78" s="15">
        <f>VLOOKUP(I$66, 'Debt Service'!$A$11:$CR$47, 'Debt Service'!$CR$6, FALSE)</f>
        <v>0</v>
      </c>
      <c r="J78" s="15">
        <f>VLOOKUP(J$66, 'Debt Service'!$A$11:$CR$47, 'Debt Service'!$CR$6, FALSE)</f>
        <v>0</v>
      </c>
      <c r="K78" s="15">
        <f>VLOOKUP(K$66, 'Debt Service'!$A$11:$CR$47, 'Debt Service'!$CR$6, FALSE)</f>
        <v>0</v>
      </c>
      <c r="L78" s="15">
        <f>VLOOKUP(L$66, 'Debt Service'!$A$11:$CR$47, 'Debt Service'!$CR$6, FALSE)</f>
        <v>0</v>
      </c>
      <c r="M78" s="15">
        <f>VLOOKUP(M$66, 'Debt Service'!$A$11:$CR$47, 'Debt Service'!$CR$6, FALSE)</f>
        <v>0</v>
      </c>
      <c r="N78" s="15">
        <f>VLOOKUP(N$66, 'Debt Service'!$A$11:$CR$47, 'Debt Service'!$CR$6, FALSE)</f>
        <v>0</v>
      </c>
      <c r="O78" s="15">
        <f>VLOOKUP(O$66, 'Debt Service'!$A$11:$CR$47, 'Debt Service'!$CR$6, FALSE)</f>
        <v>0</v>
      </c>
      <c r="P78" s="15">
        <f>VLOOKUP(P$66, 'Debt Service'!$A$11:$CR$47, 'Debt Service'!$CR$6, FALSE)</f>
        <v>0</v>
      </c>
      <c r="Q78" s="15">
        <f>VLOOKUP(Q$66, 'Debt Service'!$A$11:$CR$47, 'Debt Service'!$CR$6, FALSE)</f>
        <v>0</v>
      </c>
      <c r="R78" s="15">
        <f>VLOOKUP(R$66, 'Debt Service'!$A$11:$CR$47, 'Debt Service'!$CR$6, FALSE)</f>
        <v>0</v>
      </c>
      <c r="S78" s="15">
        <f>VLOOKUP(S$66, 'Debt Service'!$A$11:$CR$47, 'Debt Service'!$CR$6, FALSE)</f>
        <v>0</v>
      </c>
      <c r="T78" s="15">
        <f>VLOOKUP(T$66, 'Debt Service'!$A$11:$CR$47, 'Debt Service'!$CR$6, FALSE)</f>
        <v>0</v>
      </c>
      <c r="U78" s="15">
        <f>VLOOKUP(U$66, 'Debt Service'!$A$11:$CR$47, 'Debt Service'!$CR$6, FALSE)</f>
        <v>0</v>
      </c>
      <c r="V78" s="15">
        <f>VLOOKUP(V$66, 'Debt Service'!$A$11:$CR$47, 'Debt Service'!$CR$6, FALSE)</f>
        <v>0</v>
      </c>
      <c r="W78" s="15">
        <f>VLOOKUP(W$66, 'Debt Service'!$A$11:$CR$47, 'Debt Service'!$CR$6, FALSE)</f>
        <v>0</v>
      </c>
      <c r="X78" s="15">
        <f>VLOOKUP(X$66, 'Debt Service'!$A$11:$CR$47, 'Debt Service'!$CR$6, FALSE)</f>
        <v>0</v>
      </c>
      <c r="Y78" s="15">
        <f>VLOOKUP(Y$66, 'Debt Service'!$A$11:$CR$47, 'Debt Service'!$CR$6, FALSE)</f>
        <v>0</v>
      </c>
      <c r="Z78" s="15">
        <f>VLOOKUP(Z$66, 'Debt Service'!$A$11:$CR$47, 'Debt Service'!$CR$6, FALSE)</f>
        <v>0</v>
      </c>
      <c r="AA78" s="15">
        <f>VLOOKUP(AA$66, 'Debt Service'!$A$11:$CR$47, 'Debt Service'!$CR$6, FALSE)</f>
        <v>0</v>
      </c>
      <c r="AB78" s="15">
        <f>VLOOKUP(AB$66, 'Debt Service'!$A$11:$CR$47, 'Debt Service'!$CR$6, FALSE)</f>
        <v>0</v>
      </c>
      <c r="AC78" s="15">
        <f>VLOOKUP(AC$66, 'Debt Service'!$A$11:$CR$47, 'Debt Service'!$CR$6, FALSE)</f>
        <v>0</v>
      </c>
      <c r="AD78" s="15">
        <f>VLOOKUP(AD$66, 'Debt Service'!$A$11:$CR$47, 'Debt Service'!$CR$6, FALSE)</f>
        <v>0</v>
      </c>
      <c r="AE78" s="15">
        <f>VLOOKUP(AE$66, 'Debt Service'!$A$11:$CR$47, 'Debt Service'!$CR$6, FALSE)</f>
        <v>0</v>
      </c>
      <c r="AF78" s="15">
        <f>VLOOKUP(AF$66, 'Debt Service'!$A$11:$CR$47, 'Debt Service'!$CR$6, FALSE)</f>
        <v>0</v>
      </c>
      <c r="AG78" s="15">
        <f>VLOOKUP(AG$66, 'Debt Service'!$A$11:$CR$47, 'Debt Service'!$CR$6, FALSE)</f>
        <v>0</v>
      </c>
      <c r="AH78" s="15">
        <f>VLOOKUP(AH$66, 'Debt Service'!$A$11:$CR$47, 'Debt Service'!$CR$6, FALSE)</f>
        <v>0</v>
      </c>
      <c r="AI78" s="15">
        <f>VLOOKUP(AI$66, 'Debt Service'!$A$11:$CR$47, 'Debt Service'!$CR$6, FALSE)</f>
        <v>0</v>
      </c>
      <c r="AJ78" s="15">
        <f>VLOOKUP(AJ$66, 'Debt Service'!$A$11:$CR$47, 'Debt Service'!$CR$6, FALSE)</f>
        <v>0</v>
      </c>
      <c r="AK78" s="15">
        <f>VLOOKUP(AK$66, 'Debt Service'!$A$11:$CR$47, 'Debt Service'!$CR$6, FALSE)</f>
        <v>0</v>
      </c>
      <c r="AL78" s="15">
        <f>VLOOKUP(AL$66, 'Debt Service'!$A$11:$CR$47, 'Debt Service'!$CR$6, FALSE)</f>
        <v>0</v>
      </c>
      <c r="AM78" s="15">
        <f>VLOOKUP(AM$66, 'Debt Service'!$A$11:$CR$47, 'Debt Service'!$CR$6, FALSE)</f>
        <v>0</v>
      </c>
      <c r="AN78" s="29">
        <f t="shared" si="86"/>
        <v>22000000</v>
      </c>
      <c r="AO78" s="57"/>
      <c r="AP78" s="10">
        <f t="shared" si="87"/>
        <v>13</v>
      </c>
      <c r="AQ78" s="73">
        <f t="shared" si="88"/>
        <v>0</v>
      </c>
    </row>
    <row r="79" spans="1:43" s="58" customFormat="1" outlineLevel="1">
      <c r="A79" s="132" t="s">
        <v>172</v>
      </c>
      <c r="B79" s="46"/>
      <c r="C79" s="15">
        <f>VLOOKUP(C$66, 'Debt Service'!$A$11:$CV$47, 'Debt Service'!$CV$6, FALSE)</f>
        <v>0</v>
      </c>
      <c r="D79" s="15">
        <f>VLOOKUP(D$66, 'Debt Service'!$A$11:$CV$47, 'Debt Service'!$CV$6, FALSE)</f>
        <v>0</v>
      </c>
      <c r="E79" s="15">
        <f>VLOOKUP(E$66, 'Debt Service'!$A$11:$CV$47, 'Debt Service'!$CV$6, FALSE)</f>
        <v>0</v>
      </c>
      <c r="F79" s="15">
        <f>VLOOKUP(F$66, 'Debt Service'!$A$11:$CV$47, 'Debt Service'!$CV$6, FALSE)</f>
        <v>0</v>
      </c>
      <c r="G79" s="15">
        <f>VLOOKUP(G$66, 'Debt Service'!$A$11:$CV$47, 'Debt Service'!$CV$6, FALSE)</f>
        <v>0</v>
      </c>
      <c r="H79" s="15">
        <f>VLOOKUP(H$66, 'Debt Service'!$A$11:$CV$47, 'Debt Service'!$CV$6, FALSE)</f>
        <v>0</v>
      </c>
      <c r="I79" s="15">
        <f>VLOOKUP(I$66, 'Debt Service'!$A$11:$CV$47, 'Debt Service'!$CV$6, FALSE)</f>
        <v>0</v>
      </c>
      <c r="J79" s="15">
        <f>VLOOKUP(J$66, 'Debt Service'!$A$11:$CV$47, 'Debt Service'!$CV$6, FALSE)</f>
        <v>0</v>
      </c>
      <c r="K79" s="15">
        <f>VLOOKUP(K$66, 'Debt Service'!$A$11:$CV$47, 'Debt Service'!$CV$6, FALSE)</f>
        <v>0</v>
      </c>
      <c r="L79" s="15">
        <f>VLOOKUP(L$66, 'Debt Service'!$A$11:$CV$47, 'Debt Service'!$CV$6, FALSE)</f>
        <v>0</v>
      </c>
      <c r="M79" s="15">
        <f>VLOOKUP(M$66, 'Debt Service'!$A$11:$CV$47, 'Debt Service'!$CV$6, FALSE)</f>
        <v>0</v>
      </c>
      <c r="N79" s="15">
        <f>VLOOKUP(N$66, 'Debt Service'!$A$11:$CV$47, 'Debt Service'!$CV$6, FALSE)</f>
        <v>0</v>
      </c>
      <c r="O79" s="15">
        <f>VLOOKUP(O$66, 'Debt Service'!$A$11:$CV$47, 'Debt Service'!$CV$6, FALSE)</f>
        <v>0</v>
      </c>
      <c r="P79" s="15">
        <f>VLOOKUP(P$66, 'Debt Service'!$A$11:$CV$47, 'Debt Service'!$CV$6, FALSE)</f>
        <v>0</v>
      </c>
      <c r="Q79" s="15">
        <f>VLOOKUP(Q$66, 'Debt Service'!$A$11:$CV$47, 'Debt Service'!$CV$6, FALSE)</f>
        <v>0</v>
      </c>
      <c r="R79" s="15">
        <f>VLOOKUP(R$66, 'Debt Service'!$A$11:$CV$47, 'Debt Service'!$CV$6, FALSE)</f>
        <v>0</v>
      </c>
      <c r="S79" s="15">
        <f>VLOOKUP(S$66, 'Debt Service'!$A$11:$CV$47, 'Debt Service'!$CV$6, FALSE)</f>
        <v>0</v>
      </c>
      <c r="T79" s="15">
        <f>VLOOKUP(T$66, 'Debt Service'!$A$11:$CV$47, 'Debt Service'!$CV$6, FALSE)</f>
        <v>0</v>
      </c>
      <c r="U79" s="15">
        <f>VLOOKUP(U$66, 'Debt Service'!$A$11:$CV$47, 'Debt Service'!$CV$6, FALSE)</f>
        <v>0</v>
      </c>
      <c r="V79" s="15">
        <f>VLOOKUP(V$66, 'Debt Service'!$A$11:$CV$47, 'Debt Service'!$CV$6, FALSE)</f>
        <v>0</v>
      </c>
      <c r="W79" s="15">
        <f>VLOOKUP(W$66, 'Debt Service'!$A$11:$CV$47, 'Debt Service'!$CV$6, FALSE)</f>
        <v>0</v>
      </c>
      <c r="X79" s="15">
        <f>VLOOKUP(X$66, 'Debt Service'!$A$11:$CV$47, 'Debt Service'!$CV$6, FALSE)</f>
        <v>0</v>
      </c>
      <c r="Y79" s="15">
        <f>VLOOKUP(Y$66, 'Debt Service'!$A$11:$CV$47, 'Debt Service'!$CV$6, FALSE)</f>
        <v>0</v>
      </c>
      <c r="Z79" s="15">
        <f>VLOOKUP(Z$66, 'Debt Service'!$A$11:$CV$47, 'Debt Service'!$CV$6, FALSE)</f>
        <v>0</v>
      </c>
      <c r="AA79" s="15">
        <f>VLOOKUP(AA$66, 'Debt Service'!$A$11:$CV$47, 'Debt Service'!$CV$6, FALSE)</f>
        <v>0</v>
      </c>
      <c r="AB79" s="15">
        <f>VLOOKUP(AB$66, 'Debt Service'!$A$11:$CV$47, 'Debt Service'!$CV$6, FALSE)</f>
        <v>0</v>
      </c>
      <c r="AC79" s="15">
        <f>VLOOKUP(AC$66, 'Debt Service'!$A$11:$CV$47, 'Debt Service'!$CV$6, FALSE)</f>
        <v>0</v>
      </c>
      <c r="AD79" s="15">
        <f>VLOOKUP(AD$66, 'Debt Service'!$A$11:$CV$47, 'Debt Service'!$CV$6, FALSE)</f>
        <v>0</v>
      </c>
      <c r="AE79" s="15">
        <f>VLOOKUP(AE$66, 'Debt Service'!$A$11:$CV$47, 'Debt Service'!$CV$6, FALSE)</f>
        <v>75000000</v>
      </c>
      <c r="AF79" s="15">
        <f>VLOOKUP(AF$66, 'Debt Service'!$A$11:$CV$47, 'Debt Service'!$CV$6, FALSE)</f>
        <v>0</v>
      </c>
      <c r="AG79" s="15">
        <f>VLOOKUP(AG$66, 'Debt Service'!$A$11:$CV$47, 'Debt Service'!$CV$6, FALSE)</f>
        <v>0</v>
      </c>
      <c r="AH79" s="15">
        <f>VLOOKUP(AH$66, 'Debt Service'!$A$11:$CV$47, 'Debt Service'!$CV$6, FALSE)</f>
        <v>0</v>
      </c>
      <c r="AI79" s="15">
        <f>VLOOKUP(AI$66, 'Debt Service'!$A$11:$CV$47, 'Debt Service'!$CV$6, FALSE)</f>
        <v>0</v>
      </c>
      <c r="AJ79" s="15">
        <f>VLOOKUP(AJ$66, 'Debt Service'!$A$11:$CV$47, 'Debt Service'!$CV$6, FALSE)</f>
        <v>0</v>
      </c>
      <c r="AK79" s="15">
        <f>VLOOKUP(AK$66, 'Debt Service'!$A$11:$CV$47, 'Debt Service'!$CV$6, FALSE)</f>
        <v>0</v>
      </c>
      <c r="AL79" s="15">
        <f>VLOOKUP(AL$66, 'Debt Service'!$A$11:$CV$47, 'Debt Service'!$CV$6, FALSE)</f>
        <v>0</v>
      </c>
      <c r="AM79" s="15">
        <f>VLOOKUP(AM$66, 'Debt Service'!$A$11:$CV$47, 'Debt Service'!$CV$6, FALSE)</f>
        <v>0</v>
      </c>
      <c r="AN79" s="29">
        <f t="shared" si="86"/>
        <v>75000000</v>
      </c>
      <c r="AO79" s="57"/>
      <c r="AP79" s="10">
        <f t="shared" si="87"/>
        <v>14</v>
      </c>
      <c r="AQ79" s="73">
        <f t="shared" si="88"/>
        <v>0</v>
      </c>
    </row>
    <row r="80" spans="1:43" s="58" customFormat="1" outlineLevel="1">
      <c r="A80" s="132" t="str">
        <f>'Debt Service'!DC$52</f>
        <v>2023 Series</v>
      </c>
      <c r="B80" s="46"/>
      <c r="C80" s="15">
        <f>VLOOKUP(C$66, 'Debt Service'!$A$11:$DC$47, 'Debt Service'!$DC$6, FALSE)</f>
        <v>0</v>
      </c>
      <c r="D80" s="15">
        <f>VLOOKUP(D$66, 'Debt Service'!$A$11:$DC$47, 'Debt Service'!$DC$6, FALSE)</f>
        <v>0</v>
      </c>
      <c r="E80" s="15">
        <f>VLOOKUP(E$66, 'Debt Service'!$A$11:$DC$47, 'Debt Service'!$DC$6, FALSE)</f>
        <v>0</v>
      </c>
      <c r="F80" s="15">
        <f>VLOOKUP(F$66, 'Debt Service'!$A$11:$DC$47, 'Debt Service'!$DC$6, FALSE)</f>
        <v>0</v>
      </c>
      <c r="G80" s="15">
        <f>VLOOKUP(G$66, 'Debt Service'!$A$11:$DC$47, 'Debt Service'!$DC$6, FALSE)</f>
        <v>0</v>
      </c>
      <c r="H80" s="15">
        <f>VLOOKUP(H$66, 'Debt Service'!$A$11:$DC$47, 'Debt Service'!$DC$6, FALSE)</f>
        <v>0</v>
      </c>
      <c r="I80" s="15">
        <f>VLOOKUP(I$66, 'Debt Service'!$A$11:$DC$47, 'Debt Service'!$DC$6, FALSE)</f>
        <v>0</v>
      </c>
      <c r="J80" s="15">
        <f>VLOOKUP(J$66, 'Debt Service'!$A$11:$DC$47, 'Debt Service'!$DC$6, FALSE)</f>
        <v>0</v>
      </c>
      <c r="K80" s="15">
        <f>VLOOKUP(K$66, 'Debt Service'!$A$11:$DC$47, 'Debt Service'!$DC$6, FALSE)</f>
        <v>0</v>
      </c>
      <c r="L80" s="15">
        <f>VLOOKUP(L$66, 'Debt Service'!$A$11:$DC$47, 'Debt Service'!$DC$6, FALSE)</f>
        <v>50000000</v>
      </c>
      <c r="M80" s="15">
        <f>VLOOKUP(M$66, 'Debt Service'!$A$11:$DC$47, 'Debt Service'!$DC$6, FALSE)</f>
        <v>41030000</v>
      </c>
      <c r="N80" s="15">
        <f>VLOOKUP(N$66, 'Debt Service'!$A$11:$DC$47, 'Debt Service'!$DC$6, FALSE)</f>
        <v>50000000</v>
      </c>
      <c r="O80" s="15">
        <f>VLOOKUP(O$66, 'Debt Service'!$A$11:$DC$47, 'Debt Service'!$DC$6, FALSE)</f>
        <v>0</v>
      </c>
      <c r="P80" s="15">
        <f>VLOOKUP(P$66, 'Debt Service'!$A$11:$DC$47, 'Debt Service'!$DC$6, FALSE)</f>
        <v>0</v>
      </c>
      <c r="Q80" s="15">
        <f>VLOOKUP(Q$66, 'Debt Service'!$A$11:$DC$47, 'Debt Service'!$DC$6, FALSE)</f>
        <v>0</v>
      </c>
      <c r="R80" s="15">
        <f>VLOOKUP(R$66, 'Debt Service'!$A$11:$DC$47, 'Debt Service'!$DC$6, FALSE)</f>
        <v>0</v>
      </c>
      <c r="S80" s="15">
        <f>VLOOKUP(S$66, 'Debt Service'!$A$11:$DC$47, 'Debt Service'!$DC$6, FALSE)</f>
        <v>0</v>
      </c>
      <c r="T80" s="15">
        <f>VLOOKUP(T$66, 'Debt Service'!$A$11:$DC$47, 'Debt Service'!$DC$6, FALSE)</f>
        <v>0</v>
      </c>
      <c r="U80" s="15">
        <f>VLOOKUP(U$66, 'Debt Service'!$A$11:$DC$47, 'Debt Service'!$DC$6, FALSE)</f>
        <v>0</v>
      </c>
      <c r="V80" s="15">
        <f>VLOOKUP(V$66, 'Debt Service'!$A$11:$DC$47, 'Debt Service'!$DC$6, FALSE)</f>
        <v>0</v>
      </c>
      <c r="W80" s="15">
        <f>VLOOKUP(W$66, 'Debt Service'!$A$11:$DC$47, 'Debt Service'!$DC$6, FALSE)</f>
        <v>0</v>
      </c>
      <c r="X80" s="15">
        <f>VLOOKUP(X$66, 'Debt Service'!$A$11:$DC$47, 'Debt Service'!$DC$6, FALSE)</f>
        <v>0</v>
      </c>
      <c r="Y80" s="15">
        <f>VLOOKUP(Y$66, 'Debt Service'!$A$11:$DC$47, 'Debt Service'!$DC$6, FALSE)</f>
        <v>0</v>
      </c>
      <c r="Z80" s="15">
        <f>VLOOKUP(Z$66, 'Debt Service'!$A$11:$DC$47, 'Debt Service'!$DC$6, FALSE)</f>
        <v>0</v>
      </c>
      <c r="AA80" s="15">
        <f>VLOOKUP(AA$66, 'Debt Service'!$A$11:$DC$47, 'Debt Service'!$DC$6, FALSE)</f>
        <v>0</v>
      </c>
      <c r="AB80" s="15">
        <f>VLOOKUP(AB$66, 'Debt Service'!$A$11:$DC$47, 'Debt Service'!$DC$6, FALSE)</f>
        <v>0</v>
      </c>
      <c r="AC80" s="15">
        <f>VLOOKUP(AC$66, 'Debt Service'!$A$11:$DC$47, 'Debt Service'!$DC$6, FALSE)</f>
        <v>0</v>
      </c>
      <c r="AD80" s="15">
        <f>VLOOKUP(AD$66, 'Debt Service'!$A$11:$DC$47, 'Debt Service'!$DC$6, FALSE)</f>
        <v>0</v>
      </c>
      <c r="AE80" s="15">
        <f>VLOOKUP(AE$66, 'Debt Service'!$A$11:$DC$47, 'Debt Service'!$DC$6, FALSE)</f>
        <v>0</v>
      </c>
      <c r="AF80" s="15">
        <f>VLOOKUP(AF$66, 'Debt Service'!$A$11:$DC$47, 'Debt Service'!$DC$6, FALSE)</f>
        <v>0</v>
      </c>
      <c r="AG80" s="15">
        <f>VLOOKUP(AG$66, 'Debt Service'!$A$11:$DC$47, 'Debt Service'!$DC$6, FALSE)</f>
        <v>0</v>
      </c>
      <c r="AH80" s="15">
        <f>VLOOKUP(AH$66, 'Debt Service'!$A$11:$DC$47, 'Debt Service'!$DC$6, FALSE)</f>
        <v>0</v>
      </c>
      <c r="AI80" s="15">
        <f>VLOOKUP(AI$66, 'Debt Service'!$A$11:$DC$47, 'Debt Service'!$DC$6, FALSE)</f>
        <v>0</v>
      </c>
      <c r="AJ80" s="15">
        <f>VLOOKUP(AJ$66, 'Debt Service'!$A$11:$DC$47, 'Debt Service'!$DC$6, FALSE)</f>
        <v>0</v>
      </c>
      <c r="AK80" s="15">
        <f>VLOOKUP(AK$66, 'Debt Service'!$A$11:$DC$47, 'Debt Service'!$DC$6, FALSE)</f>
        <v>0</v>
      </c>
      <c r="AL80" s="15">
        <f>VLOOKUP(AL$66, 'Debt Service'!$A$11:$DC$47, 'Debt Service'!$DC$6, FALSE)</f>
        <v>0</v>
      </c>
      <c r="AM80" s="15">
        <f>VLOOKUP(AM$66, 'Debt Service'!$A$11:$DC$47, 'Debt Service'!$DC$6, FALSE)</f>
        <v>0</v>
      </c>
      <c r="AN80" s="29">
        <f t="shared" si="86"/>
        <v>141030000</v>
      </c>
      <c r="AO80" s="57"/>
      <c r="AP80" s="10">
        <f t="shared" si="87"/>
        <v>15</v>
      </c>
      <c r="AQ80" s="73">
        <f t="shared" si="88"/>
        <v>0</v>
      </c>
    </row>
    <row r="81" spans="1:43" s="58" customFormat="1" outlineLevel="1">
      <c r="A81" s="132" t="str">
        <f>'Debt Service'!DG$52</f>
        <v>2024 Series</v>
      </c>
      <c r="B81" s="46"/>
      <c r="C81" s="15">
        <f>VLOOKUP(C$66, 'Debt Service'!$A$11:$DG$47, 'Debt Service'!$DG$6, FALSE)</f>
        <v>0</v>
      </c>
      <c r="D81" s="15">
        <f>VLOOKUP(D$66, 'Debt Service'!$A$11:$DG$47, 'Debt Service'!$DG$6, FALSE)</f>
        <v>0</v>
      </c>
      <c r="E81" s="15">
        <f>VLOOKUP(E$66, 'Debt Service'!$A$11:$DG$47, 'Debt Service'!$DG$6, FALSE)</f>
        <v>0</v>
      </c>
      <c r="F81" s="15">
        <f>VLOOKUP(F$66, 'Debt Service'!$A$11:$DG$47, 'Debt Service'!$DG$6, FALSE)</f>
        <v>0</v>
      </c>
      <c r="G81" s="15">
        <f>VLOOKUP(G$66, 'Debt Service'!$A$11:$DG$47, 'Debt Service'!$DG$6, FALSE)</f>
        <v>0</v>
      </c>
      <c r="H81" s="15">
        <f>VLOOKUP(H$66, 'Debt Service'!$A$11:$DG$47, 'Debt Service'!$DG$6, FALSE)</f>
        <v>0</v>
      </c>
      <c r="I81" s="15">
        <f>VLOOKUP(I$66, 'Debt Service'!$A$11:$DG$47, 'Debt Service'!$DG$6, FALSE)</f>
        <v>0</v>
      </c>
      <c r="J81" s="15">
        <f>VLOOKUP(J$66, 'Debt Service'!$A$11:$DG$47, 'Debt Service'!$DG$6, FALSE)</f>
        <v>0</v>
      </c>
      <c r="K81" s="15">
        <f>VLOOKUP(K$66, 'Debt Service'!$A$11:$DG$47, 'Debt Service'!$DG$6, FALSE)</f>
        <v>0</v>
      </c>
      <c r="L81" s="15">
        <f>VLOOKUP(L$66, 'Debt Service'!$A$11:$DG$47, 'Debt Service'!$DG$6, FALSE)</f>
        <v>0</v>
      </c>
      <c r="M81" s="15">
        <f>VLOOKUP(M$66, 'Debt Service'!$A$11:$DG$47, 'Debt Service'!$DG$6, FALSE)</f>
        <v>0</v>
      </c>
      <c r="N81" s="15">
        <f>VLOOKUP(N$66, 'Debt Service'!$A$11:$DG$47, 'Debt Service'!$DG$6, FALSE)</f>
        <v>0</v>
      </c>
      <c r="O81" s="15">
        <f>VLOOKUP(O$66, 'Debt Service'!$A$11:$DG$47, 'Debt Service'!$DG$6, FALSE)</f>
        <v>0</v>
      </c>
      <c r="P81" s="15">
        <f>VLOOKUP(P$66, 'Debt Service'!$A$11:$DG$47, 'Debt Service'!$DG$6, FALSE)</f>
        <v>0</v>
      </c>
      <c r="Q81" s="15">
        <f>VLOOKUP(Q$66, 'Debt Service'!$A$11:$DG$47, 'Debt Service'!$DG$6, FALSE)</f>
        <v>0</v>
      </c>
      <c r="R81" s="15">
        <f>VLOOKUP(R$66, 'Debt Service'!$A$11:$DG$47, 'Debt Service'!$DG$6, FALSE)</f>
        <v>0</v>
      </c>
      <c r="S81" s="15">
        <f>VLOOKUP(S$66, 'Debt Service'!$A$11:$DG$47, 'Debt Service'!$DG$6, FALSE)</f>
        <v>0</v>
      </c>
      <c r="T81" s="15">
        <f>VLOOKUP(T$66, 'Debt Service'!$A$11:$DG$47, 'Debt Service'!$DG$6, FALSE)</f>
        <v>0</v>
      </c>
      <c r="U81" s="15">
        <f>VLOOKUP(U$66, 'Debt Service'!$A$11:$DG$47, 'Debt Service'!$DG$6, FALSE)</f>
        <v>0</v>
      </c>
      <c r="V81" s="15">
        <f>VLOOKUP(V$66, 'Debt Service'!$A$11:$DG$47, 'Debt Service'!$DG$6, FALSE)</f>
        <v>0</v>
      </c>
      <c r="W81" s="15">
        <f>VLOOKUP(W$66, 'Debt Service'!$A$11:$DG$47, 'Debt Service'!$DG$6, FALSE)</f>
        <v>0</v>
      </c>
      <c r="X81" s="15">
        <f>VLOOKUP(X$66, 'Debt Service'!$A$11:$DG$47, 'Debt Service'!$DG$6, FALSE)</f>
        <v>0</v>
      </c>
      <c r="Y81" s="15">
        <f>VLOOKUP(Y$66, 'Debt Service'!$A$11:$DG$47, 'Debt Service'!$DG$6, FALSE)</f>
        <v>0</v>
      </c>
      <c r="Z81" s="15">
        <f>VLOOKUP(Z$66, 'Debt Service'!$A$11:$DG$47, 'Debt Service'!$DG$6, FALSE)</f>
        <v>0</v>
      </c>
      <c r="AA81" s="15">
        <f>VLOOKUP(AA$66, 'Debt Service'!$A$11:$DG$47, 'Debt Service'!$DG$6, FALSE)</f>
        <v>0</v>
      </c>
      <c r="AB81" s="15">
        <f>VLOOKUP(AB$66, 'Debt Service'!$A$11:$DG$47, 'Debt Service'!$DG$6, FALSE)</f>
        <v>0</v>
      </c>
      <c r="AC81" s="15">
        <f>VLOOKUP(AC$66, 'Debt Service'!$A$11:$DG$47, 'Debt Service'!$DG$6, FALSE)</f>
        <v>0</v>
      </c>
      <c r="AD81" s="15">
        <f>VLOOKUP(AD$66, 'Debt Service'!$A$11:$DG$47, 'Debt Service'!$DG$6, FALSE)</f>
        <v>0</v>
      </c>
      <c r="AE81" s="15">
        <f>VLOOKUP(AE$66, 'Debt Service'!$A$11:$DG$47, 'Debt Service'!$DG$6, FALSE)</f>
        <v>0</v>
      </c>
      <c r="AF81" s="15">
        <f>VLOOKUP(AF$66, 'Debt Service'!$A$11:$DG$47, 'Debt Service'!$DG$6, FALSE)</f>
        <v>0</v>
      </c>
      <c r="AG81" s="15">
        <f>VLOOKUP(AG$66, 'Debt Service'!$A$11:$DG$47, 'Debt Service'!$DG$6, FALSE)</f>
        <v>0</v>
      </c>
      <c r="AH81" s="15">
        <f>VLOOKUP(AH$66, 'Debt Service'!$A$11:$DG$47, 'Debt Service'!$DG$6, FALSE)</f>
        <v>0</v>
      </c>
      <c r="AI81" s="15">
        <f>VLOOKUP(AI$66, 'Debt Service'!$A$11:$DG$47, 'Debt Service'!$DG$6, FALSE)</f>
        <v>0</v>
      </c>
      <c r="AJ81" s="15">
        <f>VLOOKUP(AJ$66, 'Debt Service'!$A$11:$DG$47, 'Debt Service'!$DG$6, FALSE)</f>
        <v>0</v>
      </c>
      <c r="AK81" s="15">
        <f>VLOOKUP(AK$66, 'Debt Service'!$A$11:$DG$47, 'Debt Service'!$DG$6, FALSE)</f>
        <v>0</v>
      </c>
      <c r="AL81" s="15">
        <f>VLOOKUP(AL$66, 'Debt Service'!$A$11:$DG$47, 'Debt Service'!$DG$6, FALSE)</f>
        <v>0</v>
      </c>
      <c r="AM81" s="15">
        <f>VLOOKUP(AM$66, 'Debt Service'!$A$11:$DG$47, 'Debt Service'!$DG$6, FALSE)</f>
        <v>0</v>
      </c>
      <c r="AN81" s="29">
        <f t="shared" si="86"/>
        <v>0</v>
      </c>
      <c r="AO81" s="57"/>
      <c r="AP81" s="10">
        <f t="shared" si="87"/>
        <v>16</v>
      </c>
      <c r="AQ81" s="73">
        <f t="shared" si="88"/>
        <v>0</v>
      </c>
    </row>
    <row r="82" spans="1:43" s="58" customFormat="1" outlineLevel="1">
      <c r="A82" s="132" t="str">
        <f>'Debt Service'!DK$52</f>
        <v>2025 Series</v>
      </c>
      <c r="B82" s="46"/>
      <c r="C82" s="15">
        <f>VLOOKUP(C$66, 'Debt Service'!$A$11:$DK$47, 'Debt Service'!$DK$6, FALSE)</f>
        <v>0</v>
      </c>
      <c r="D82" s="15">
        <f>VLOOKUP(D$66, 'Debt Service'!$A$11:$DK$47, 'Debt Service'!$DK$6, FALSE)</f>
        <v>0</v>
      </c>
      <c r="E82" s="15">
        <f>VLOOKUP(E$66, 'Debt Service'!$A$11:$DK$47, 'Debt Service'!$DK$6, FALSE)</f>
        <v>0</v>
      </c>
      <c r="F82" s="15">
        <f>VLOOKUP(F$66, 'Debt Service'!$A$11:$DK$47, 'Debt Service'!$DK$6, FALSE)</f>
        <v>0</v>
      </c>
      <c r="G82" s="15">
        <f>VLOOKUP(G$66, 'Debt Service'!$A$11:$DK$47, 'Debt Service'!$DK$6, FALSE)</f>
        <v>0</v>
      </c>
      <c r="H82" s="15">
        <f>VLOOKUP(H$66, 'Debt Service'!$A$11:$DK$47, 'Debt Service'!$DK$6, FALSE)</f>
        <v>0</v>
      </c>
      <c r="I82" s="15">
        <f>VLOOKUP(I$66, 'Debt Service'!$A$11:$DK$47, 'Debt Service'!$DK$6, FALSE)</f>
        <v>0</v>
      </c>
      <c r="J82" s="15">
        <f>VLOOKUP(J$66, 'Debt Service'!$A$11:$DK$47, 'Debt Service'!$DK$6, FALSE)</f>
        <v>0</v>
      </c>
      <c r="K82" s="15">
        <f>VLOOKUP(K$66, 'Debt Service'!$A$11:$DK$47, 'Debt Service'!$DK$6, FALSE)</f>
        <v>0</v>
      </c>
      <c r="L82" s="15">
        <f>VLOOKUP(L$66, 'Debt Service'!$A$11:$DK$47, 'Debt Service'!$DK$6, FALSE)</f>
        <v>0</v>
      </c>
      <c r="M82" s="15">
        <f>VLOOKUP(M$66, 'Debt Service'!$A$11:$DK$47, 'Debt Service'!$DK$6, FALSE)</f>
        <v>0</v>
      </c>
      <c r="N82" s="15">
        <f>VLOOKUP(N$66, 'Debt Service'!$A$11:$DK$47, 'Debt Service'!$DK$6, FALSE)</f>
        <v>0</v>
      </c>
      <c r="O82" s="15">
        <f>VLOOKUP(O$66, 'Debt Service'!$A$11:$DK$47, 'Debt Service'!$DK$6, FALSE)</f>
        <v>0</v>
      </c>
      <c r="P82" s="15">
        <f>VLOOKUP(P$66, 'Debt Service'!$A$11:$DK$47, 'Debt Service'!$DK$6, FALSE)</f>
        <v>0</v>
      </c>
      <c r="Q82" s="15">
        <f>VLOOKUP(Q$66, 'Debt Service'!$A$11:$DK$47, 'Debt Service'!$DK$6, FALSE)</f>
        <v>0</v>
      </c>
      <c r="R82" s="15">
        <f>VLOOKUP(R$66, 'Debt Service'!$A$11:$DK$47, 'Debt Service'!$DK$6, FALSE)</f>
        <v>0</v>
      </c>
      <c r="S82" s="15">
        <f>VLOOKUP(S$66, 'Debt Service'!$A$11:$DK$47, 'Debt Service'!$DK$6, FALSE)</f>
        <v>0</v>
      </c>
      <c r="T82" s="15">
        <f>VLOOKUP(T$66, 'Debt Service'!$A$11:$DK$47, 'Debt Service'!$DK$6, FALSE)</f>
        <v>0</v>
      </c>
      <c r="U82" s="15">
        <f>VLOOKUP(U$66, 'Debt Service'!$A$11:$DK$47, 'Debt Service'!$DK$6, FALSE)</f>
        <v>0</v>
      </c>
      <c r="V82" s="15">
        <f>VLOOKUP(V$66, 'Debt Service'!$A$11:$DK$47, 'Debt Service'!$DK$6, FALSE)</f>
        <v>0</v>
      </c>
      <c r="W82" s="15">
        <f>VLOOKUP(W$66, 'Debt Service'!$A$11:$DK$47, 'Debt Service'!$DK$6, FALSE)</f>
        <v>0</v>
      </c>
      <c r="X82" s="15">
        <f>VLOOKUP(X$66, 'Debt Service'!$A$11:$DK$47, 'Debt Service'!$DK$6, FALSE)</f>
        <v>0</v>
      </c>
      <c r="Y82" s="15">
        <f>VLOOKUP(Y$66, 'Debt Service'!$A$11:$DK$47, 'Debt Service'!$DK$6, FALSE)</f>
        <v>0</v>
      </c>
      <c r="Z82" s="15">
        <f>VLOOKUP(Z$66, 'Debt Service'!$A$11:$DK$47, 'Debt Service'!$DK$6, FALSE)</f>
        <v>0</v>
      </c>
      <c r="AA82" s="15">
        <f>VLOOKUP(AA$66, 'Debt Service'!$A$11:$DK$47, 'Debt Service'!$DK$6, FALSE)</f>
        <v>0</v>
      </c>
      <c r="AB82" s="15">
        <f>VLOOKUP(AB$66, 'Debt Service'!$A$11:$DK$47, 'Debt Service'!$DK$6, FALSE)</f>
        <v>0</v>
      </c>
      <c r="AC82" s="15">
        <f>VLOOKUP(AC$66, 'Debt Service'!$A$11:$DK$47, 'Debt Service'!$DK$6, FALSE)</f>
        <v>0</v>
      </c>
      <c r="AD82" s="15">
        <f>VLOOKUP(AD$66, 'Debt Service'!$A$11:$DK$47, 'Debt Service'!$DK$6, FALSE)</f>
        <v>0</v>
      </c>
      <c r="AE82" s="15">
        <f>VLOOKUP(AE$66, 'Debt Service'!$A$11:$DK$47, 'Debt Service'!$DK$6, FALSE)</f>
        <v>0</v>
      </c>
      <c r="AF82" s="15">
        <f>VLOOKUP(AF$66, 'Debt Service'!$A$11:$DK$47, 'Debt Service'!$DK$6, FALSE)</f>
        <v>0</v>
      </c>
      <c r="AG82" s="15">
        <f>VLOOKUP(AG$66, 'Debt Service'!$A$11:$DK$47, 'Debt Service'!$DK$6, FALSE)</f>
        <v>0</v>
      </c>
      <c r="AH82" s="15">
        <f>VLOOKUP(AH$66, 'Debt Service'!$A$11:$DK$47, 'Debt Service'!$DK$6, FALSE)</f>
        <v>0</v>
      </c>
      <c r="AI82" s="15">
        <f>VLOOKUP(AI$66, 'Debt Service'!$A$11:$DK$47, 'Debt Service'!$DK$6, FALSE)</f>
        <v>0</v>
      </c>
      <c r="AJ82" s="15">
        <f>VLOOKUP(AJ$66, 'Debt Service'!$A$11:$DK$47, 'Debt Service'!$DK$6, FALSE)</f>
        <v>0</v>
      </c>
      <c r="AK82" s="15">
        <f>VLOOKUP(AK$66, 'Debt Service'!$A$11:$DK$47, 'Debt Service'!$DK$6, FALSE)</f>
        <v>0</v>
      </c>
      <c r="AL82" s="15">
        <f>VLOOKUP(AL$66, 'Debt Service'!$A$11:$DK$47, 'Debt Service'!$DK$6, FALSE)</f>
        <v>0</v>
      </c>
      <c r="AM82" s="15">
        <f>VLOOKUP(AM$66, 'Debt Service'!$A$11:$DK$47, 'Debt Service'!$DK$6, FALSE)</f>
        <v>0</v>
      </c>
      <c r="AN82" s="29">
        <f t="shared" ref="AN82:AN83" si="89">SUM(B82:AM82)</f>
        <v>0</v>
      </c>
      <c r="AO82" s="57"/>
      <c r="AP82" s="10">
        <f t="shared" si="87"/>
        <v>17</v>
      </c>
      <c r="AQ82" s="73">
        <f t="shared" ref="AQ82:AQ83" si="90">SUM(B82:AM82)-AN82</f>
        <v>0</v>
      </c>
    </row>
    <row r="83" spans="1:43" s="58" customFormat="1" outlineLevel="1">
      <c r="A83" s="132" t="str">
        <f>'Debt Service'!DO$52</f>
        <v>2026 Series</v>
      </c>
      <c r="B83" s="46"/>
      <c r="C83" s="15">
        <f>VLOOKUP(C$66, 'Debt Service'!$A$11:$DO$47, 'Debt Service'!$DO$6, FALSE)</f>
        <v>0</v>
      </c>
      <c r="D83" s="15">
        <f>VLOOKUP(D$66, 'Debt Service'!$A$11:$DO$47, 'Debt Service'!$DO$6, FALSE)</f>
        <v>0</v>
      </c>
      <c r="E83" s="15">
        <f>VLOOKUP(E$66, 'Debt Service'!$A$11:$DO$47, 'Debt Service'!$DO$6, FALSE)</f>
        <v>0</v>
      </c>
      <c r="F83" s="15">
        <f>VLOOKUP(F$66, 'Debt Service'!$A$11:$DO$47, 'Debt Service'!$DO$6, FALSE)</f>
        <v>0</v>
      </c>
      <c r="G83" s="15">
        <f>VLOOKUP(G$66, 'Debt Service'!$A$11:$DO$47, 'Debt Service'!$DO$6, FALSE)</f>
        <v>0</v>
      </c>
      <c r="H83" s="15">
        <f>VLOOKUP(H$66, 'Debt Service'!$A$11:$DO$47, 'Debt Service'!$DO$6, FALSE)</f>
        <v>0</v>
      </c>
      <c r="I83" s="15">
        <f>VLOOKUP(I$66, 'Debt Service'!$A$11:$DO$47, 'Debt Service'!$DO$6, FALSE)</f>
        <v>0</v>
      </c>
      <c r="J83" s="15">
        <f>VLOOKUP(J$66, 'Debt Service'!$A$11:$DO$47, 'Debt Service'!$DO$6, FALSE)</f>
        <v>0</v>
      </c>
      <c r="K83" s="15">
        <f>VLOOKUP(K$66, 'Debt Service'!$A$11:$DO$47, 'Debt Service'!$DO$6, FALSE)</f>
        <v>0</v>
      </c>
      <c r="L83" s="15">
        <f>VLOOKUP(L$66, 'Debt Service'!$A$11:$DO$47, 'Debt Service'!$DO$6, FALSE)</f>
        <v>0</v>
      </c>
      <c r="M83" s="15">
        <f>VLOOKUP(M$66, 'Debt Service'!$A$11:$DO$47, 'Debt Service'!$DO$6, FALSE)</f>
        <v>0</v>
      </c>
      <c r="N83" s="15">
        <f>VLOOKUP(N$66, 'Debt Service'!$A$11:$DO$47, 'Debt Service'!$DO$6, FALSE)</f>
        <v>0</v>
      </c>
      <c r="O83" s="15">
        <f>VLOOKUP(O$66, 'Debt Service'!$A$11:$DO$47, 'Debt Service'!$DO$6, FALSE)</f>
        <v>0</v>
      </c>
      <c r="P83" s="15">
        <f>VLOOKUP(P$66, 'Debt Service'!$A$11:$DO$47, 'Debt Service'!$DO$6, FALSE)</f>
        <v>0</v>
      </c>
      <c r="Q83" s="15">
        <f>VLOOKUP(Q$66, 'Debt Service'!$A$11:$DO$47, 'Debt Service'!$DO$6, FALSE)</f>
        <v>0</v>
      </c>
      <c r="R83" s="15">
        <f>VLOOKUP(R$66, 'Debt Service'!$A$11:$DO$47, 'Debt Service'!$DO$6, FALSE)</f>
        <v>0</v>
      </c>
      <c r="S83" s="15">
        <f>VLOOKUP(S$66, 'Debt Service'!$A$11:$DO$47, 'Debt Service'!$DO$6, FALSE)</f>
        <v>0</v>
      </c>
      <c r="T83" s="15">
        <f>VLOOKUP(T$66, 'Debt Service'!$A$11:$DO$47, 'Debt Service'!$DO$6, FALSE)</f>
        <v>0</v>
      </c>
      <c r="U83" s="15">
        <f>VLOOKUP(U$66, 'Debt Service'!$A$11:$DO$47, 'Debt Service'!$DO$6, FALSE)</f>
        <v>0</v>
      </c>
      <c r="V83" s="15">
        <f>VLOOKUP(V$66, 'Debt Service'!$A$11:$DO$47, 'Debt Service'!$DO$6, FALSE)</f>
        <v>0</v>
      </c>
      <c r="W83" s="15">
        <f>VLOOKUP(W$66, 'Debt Service'!$A$11:$DO$47, 'Debt Service'!$DO$6, FALSE)</f>
        <v>0</v>
      </c>
      <c r="X83" s="15">
        <f>VLOOKUP(X$66, 'Debt Service'!$A$11:$DO$47, 'Debt Service'!$DO$6, FALSE)</f>
        <v>0</v>
      </c>
      <c r="Y83" s="15">
        <f>VLOOKUP(Y$66, 'Debt Service'!$A$11:$DO$47, 'Debt Service'!$DO$6, FALSE)</f>
        <v>0</v>
      </c>
      <c r="Z83" s="15">
        <f>VLOOKUP(Z$66, 'Debt Service'!$A$11:$DO$47, 'Debt Service'!$DO$6, FALSE)</f>
        <v>0</v>
      </c>
      <c r="AA83" s="15">
        <f>VLOOKUP(AA$66, 'Debt Service'!$A$11:$DO$47, 'Debt Service'!$DO$6, FALSE)</f>
        <v>0</v>
      </c>
      <c r="AB83" s="15">
        <f>VLOOKUP(AB$66, 'Debt Service'!$A$11:$DO$47, 'Debt Service'!$DO$6, FALSE)</f>
        <v>0</v>
      </c>
      <c r="AC83" s="15">
        <f>VLOOKUP(AC$66, 'Debt Service'!$A$11:$DO$47, 'Debt Service'!$DO$6, FALSE)</f>
        <v>0</v>
      </c>
      <c r="AD83" s="15">
        <f>VLOOKUP(AD$66, 'Debt Service'!$A$11:$DO$47, 'Debt Service'!$DO$6, FALSE)</f>
        <v>0</v>
      </c>
      <c r="AE83" s="15">
        <f>VLOOKUP(AE$66, 'Debt Service'!$A$11:$DO$47, 'Debt Service'!$DO$6, FALSE)</f>
        <v>0</v>
      </c>
      <c r="AF83" s="15">
        <f>VLOOKUP(AF$66, 'Debt Service'!$A$11:$DO$47, 'Debt Service'!$DO$6, FALSE)</f>
        <v>0</v>
      </c>
      <c r="AG83" s="15">
        <f>VLOOKUP(AG$66, 'Debt Service'!$A$11:$DO$47, 'Debt Service'!$DO$6, FALSE)</f>
        <v>0</v>
      </c>
      <c r="AH83" s="15">
        <f>VLOOKUP(AH$66, 'Debt Service'!$A$11:$DO$47, 'Debt Service'!$DO$6, FALSE)</f>
        <v>0</v>
      </c>
      <c r="AI83" s="15">
        <f>VLOOKUP(AI$66, 'Debt Service'!$A$11:$DO$47, 'Debt Service'!$DO$6, FALSE)</f>
        <v>0</v>
      </c>
      <c r="AJ83" s="15">
        <f>VLOOKUP(AJ$66, 'Debt Service'!$A$11:$DO$47, 'Debt Service'!$DO$6, FALSE)</f>
        <v>0</v>
      </c>
      <c r="AK83" s="15">
        <f>VLOOKUP(AK$66, 'Debt Service'!$A$11:$DO$47, 'Debt Service'!$DO$6, FALSE)</f>
        <v>0</v>
      </c>
      <c r="AL83" s="15">
        <f>VLOOKUP(AL$66, 'Debt Service'!$A$11:$DO$47, 'Debt Service'!$DO$6, FALSE)</f>
        <v>0</v>
      </c>
      <c r="AM83" s="15">
        <f>VLOOKUP(AM$66, 'Debt Service'!$A$11:$DO$47, 'Debt Service'!$DO$6, FALSE)</f>
        <v>0</v>
      </c>
      <c r="AN83" s="29">
        <f t="shared" si="89"/>
        <v>0</v>
      </c>
      <c r="AO83" s="57"/>
      <c r="AP83" s="10">
        <f t="shared" si="87"/>
        <v>18</v>
      </c>
      <c r="AQ83" s="73">
        <f t="shared" si="90"/>
        <v>0</v>
      </c>
    </row>
    <row r="84" spans="1:43" s="58" customFormat="1" outlineLevel="1">
      <c r="A84" s="132" t="str">
        <f>'Debt Service'!DS$52</f>
        <v>2027 Series</v>
      </c>
      <c r="B84" s="46"/>
      <c r="C84" s="15">
        <f>VLOOKUP(C$66, 'Debt Service'!$A$11:$DS$47, 'Debt Service'!$DS$6, FALSE)</f>
        <v>0</v>
      </c>
      <c r="D84" s="15">
        <f>VLOOKUP(D$66, 'Debt Service'!$A$11:$DS$47, 'Debt Service'!$DS$6, FALSE)</f>
        <v>0</v>
      </c>
      <c r="E84" s="15">
        <f>VLOOKUP(E$66, 'Debt Service'!$A$11:$DS$47, 'Debt Service'!$DS$6, FALSE)</f>
        <v>0</v>
      </c>
      <c r="F84" s="15">
        <f>VLOOKUP(F$66, 'Debt Service'!$A$11:$DS$47, 'Debt Service'!$DS$6, FALSE)</f>
        <v>0</v>
      </c>
      <c r="G84" s="15">
        <f>VLOOKUP(G$66, 'Debt Service'!$A$11:$DS$47, 'Debt Service'!$DS$6, FALSE)</f>
        <v>0</v>
      </c>
      <c r="H84" s="15">
        <f>VLOOKUP(H$66, 'Debt Service'!$A$11:$DS$47, 'Debt Service'!$DS$6, FALSE)</f>
        <v>0</v>
      </c>
      <c r="I84" s="15">
        <f>VLOOKUP(I$66, 'Debt Service'!$A$11:$DS$47, 'Debt Service'!$DS$6, FALSE)</f>
        <v>0</v>
      </c>
      <c r="J84" s="15">
        <f>VLOOKUP(J$66, 'Debt Service'!$A$11:$DS$47, 'Debt Service'!$DS$6, FALSE)</f>
        <v>0</v>
      </c>
      <c r="K84" s="15">
        <f>VLOOKUP(K$66, 'Debt Service'!$A$11:$DS$47, 'Debt Service'!$DS$6, FALSE)</f>
        <v>0</v>
      </c>
      <c r="L84" s="15">
        <f>VLOOKUP(L$66, 'Debt Service'!$A$11:$DS$47, 'Debt Service'!$DS$6, FALSE)</f>
        <v>0</v>
      </c>
      <c r="M84" s="15">
        <f>VLOOKUP(M$66, 'Debt Service'!$A$11:$DS$47, 'Debt Service'!$DS$6, FALSE)</f>
        <v>0</v>
      </c>
      <c r="N84" s="15">
        <f>VLOOKUP(N$66, 'Debt Service'!$A$11:$DS$47, 'Debt Service'!$DS$6, FALSE)</f>
        <v>0</v>
      </c>
      <c r="O84" s="15">
        <f>VLOOKUP(O$66, 'Debt Service'!$A$11:$DS$47, 'Debt Service'!$DS$6, FALSE)</f>
        <v>0</v>
      </c>
      <c r="P84" s="15">
        <f>VLOOKUP(P$66, 'Debt Service'!$A$11:$DS$47, 'Debt Service'!$DS$6, FALSE)</f>
        <v>0</v>
      </c>
      <c r="Q84" s="15">
        <f>VLOOKUP(Q$66, 'Debt Service'!$A$11:$DS$47, 'Debt Service'!$DS$6, FALSE)</f>
        <v>0</v>
      </c>
      <c r="R84" s="15">
        <f>VLOOKUP(R$66, 'Debt Service'!$A$11:$DS$47, 'Debt Service'!$DS$6, FALSE)</f>
        <v>0</v>
      </c>
      <c r="S84" s="15">
        <f>VLOOKUP(S$66, 'Debt Service'!$A$11:$DS$47, 'Debt Service'!$DS$6, FALSE)</f>
        <v>0</v>
      </c>
      <c r="T84" s="15">
        <f>VLOOKUP(T$66, 'Debt Service'!$A$11:$DS$47, 'Debt Service'!$DS$6, FALSE)</f>
        <v>0</v>
      </c>
      <c r="U84" s="15">
        <f>VLOOKUP(U$66, 'Debt Service'!$A$11:$DS$47, 'Debt Service'!$DS$6, FALSE)</f>
        <v>0</v>
      </c>
      <c r="V84" s="15">
        <f>VLOOKUP(V$66, 'Debt Service'!$A$11:$DS$47, 'Debt Service'!$DS$6, FALSE)</f>
        <v>0</v>
      </c>
      <c r="W84" s="15">
        <f>VLOOKUP(W$66, 'Debt Service'!$A$11:$DS$47, 'Debt Service'!$DS$6, FALSE)</f>
        <v>0</v>
      </c>
      <c r="X84" s="15">
        <f>VLOOKUP(X$66, 'Debt Service'!$A$11:$DS$47, 'Debt Service'!$DS$6, FALSE)</f>
        <v>0</v>
      </c>
      <c r="Y84" s="15">
        <f>VLOOKUP(Y$66, 'Debt Service'!$A$11:$DS$47, 'Debt Service'!$DS$6, FALSE)</f>
        <v>0</v>
      </c>
      <c r="Z84" s="15">
        <f>VLOOKUP(Z$66, 'Debt Service'!$A$11:$DS$47, 'Debt Service'!$DS$6, FALSE)</f>
        <v>0</v>
      </c>
      <c r="AA84" s="15">
        <f>VLOOKUP(AA$66, 'Debt Service'!$A$11:$DS$47, 'Debt Service'!$DS$6, FALSE)</f>
        <v>0</v>
      </c>
      <c r="AB84" s="15">
        <f>VLOOKUP(AB$66, 'Debt Service'!$A$11:$DS$47, 'Debt Service'!$DS$6, FALSE)</f>
        <v>0</v>
      </c>
      <c r="AC84" s="15">
        <f>VLOOKUP(AC$66, 'Debt Service'!$A$11:$DS$47, 'Debt Service'!$DS$6, FALSE)</f>
        <v>0</v>
      </c>
      <c r="AD84" s="15">
        <f>VLOOKUP(AD$66, 'Debt Service'!$A$11:$DS$47, 'Debt Service'!$DS$6, FALSE)</f>
        <v>0</v>
      </c>
      <c r="AE84" s="15">
        <f>VLOOKUP(AE$66, 'Debt Service'!$A$11:$DS$47, 'Debt Service'!$DS$6, FALSE)</f>
        <v>0</v>
      </c>
      <c r="AF84" s="15">
        <f>VLOOKUP(AF$66, 'Debt Service'!$A$11:$DS$47, 'Debt Service'!$DS$6, FALSE)</f>
        <v>0</v>
      </c>
      <c r="AG84" s="15">
        <f>VLOOKUP(AG$66, 'Debt Service'!$A$11:$DS$47, 'Debt Service'!$DS$6, FALSE)</f>
        <v>0</v>
      </c>
      <c r="AH84" s="15">
        <f>VLOOKUP(AH$66, 'Debt Service'!$A$11:$DS$47, 'Debt Service'!$DS$6, FALSE)</f>
        <v>0</v>
      </c>
      <c r="AI84" s="15">
        <f>VLOOKUP(AI$66, 'Debt Service'!$A$11:$DS$47, 'Debt Service'!$DS$6, FALSE)</f>
        <v>0</v>
      </c>
      <c r="AJ84" s="15">
        <f>VLOOKUP(AJ$66, 'Debt Service'!$A$11:$DS$47, 'Debt Service'!$DS$6, FALSE)</f>
        <v>0</v>
      </c>
      <c r="AK84" s="15">
        <f>VLOOKUP(AK$66, 'Debt Service'!$A$11:$DS$47, 'Debt Service'!$DS$6, FALSE)</f>
        <v>0</v>
      </c>
      <c r="AL84" s="15">
        <f>VLOOKUP(AL$66, 'Debt Service'!$A$11:$DS$47, 'Debt Service'!$DS$6, FALSE)</f>
        <v>0</v>
      </c>
      <c r="AM84" s="15">
        <f>VLOOKUP(AM$66, 'Debt Service'!$A$11:$DS$47, 'Debt Service'!$DS$6, FALSE)</f>
        <v>0</v>
      </c>
      <c r="AN84" s="29">
        <f>SUM(B84:AM84)</f>
        <v>0</v>
      </c>
      <c r="AO84" s="57"/>
      <c r="AP84" s="10">
        <f t="shared" si="87"/>
        <v>19</v>
      </c>
      <c r="AQ84" s="73">
        <f>SUM(B84:AM84)-AN84</f>
        <v>0</v>
      </c>
    </row>
    <row r="85" spans="1:43" s="58" customFormat="1" outlineLevel="1">
      <c r="A85" s="91"/>
      <c r="B85" s="4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57"/>
      <c r="AO85" s="57"/>
      <c r="AP85" s="10">
        <f t="shared" si="87"/>
        <v>20</v>
      </c>
    </row>
    <row r="86" spans="1:43" s="58" customFormat="1" outlineLevel="1">
      <c r="A86" s="49" t="s">
        <v>119</v>
      </c>
      <c r="B86" s="56"/>
      <c r="C86" s="55">
        <f t="shared" ref="C86:AN86" si="91">SUM(C68:C85)</f>
        <v>50000000</v>
      </c>
      <c r="D86" s="55">
        <f t="shared" si="91"/>
        <v>0</v>
      </c>
      <c r="E86" s="55">
        <f t="shared" si="91"/>
        <v>0</v>
      </c>
      <c r="F86" s="55">
        <f t="shared" si="91"/>
        <v>16815000</v>
      </c>
      <c r="G86" s="55">
        <f t="shared" si="91"/>
        <v>219535000</v>
      </c>
      <c r="H86" s="55">
        <f t="shared" si="91"/>
        <v>67000000</v>
      </c>
      <c r="I86" s="55">
        <f t="shared" si="91"/>
        <v>5000000</v>
      </c>
      <c r="J86" s="55">
        <f t="shared" si="91"/>
        <v>0</v>
      </c>
      <c r="K86" s="55">
        <f t="shared" si="91"/>
        <v>125000000</v>
      </c>
      <c r="L86" s="55">
        <f t="shared" si="91"/>
        <v>60000000</v>
      </c>
      <c r="M86" s="55">
        <f t="shared" si="91"/>
        <v>41030000</v>
      </c>
      <c r="N86" s="55">
        <f t="shared" si="91"/>
        <v>50000000</v>
      </c>
      <c r="O86" s="55">
        <f t="shared" si="91"/>
        <v>0</v>
      </c>
      <c r="P86" s="55">
        <f t="shared" si="91"/>
        <v>60000000</v>
      </c>
      <c r="Q86" s="55">
        <f t="shared" si="91"/>
        <v>0</v>
      </c>
      <c r="R86" s="55">
        <f t="shared" si="91"/>
        <v>0</v>
      </c>
      <c r="S86" s="55">
        <f t="shared" si="91"/>
        <v>0</v>
      </c>
      <c r="T86" s="55">
        <f t="shared" si="91"/>
        <v>0</v>
      </c>
      <c r="U86" s="55">
        <f t="shared" si="91"/>
        <v>50000000</v>
      </c>
      <c r="V86" s="55">
        <f t="shared" si="91"/>
        <v>0</v>
      </c>
      <c r="W86" s="55">
        <f t="shared" si="91"/>
        <v>0</v>
      </c>
      <c r="X86" s="55">
        <f t="shared" si="91"/>
        <v>0</v>
      </c>
      <c r="Y86" s="55">
        <f t="shared" si="91"/>
        <v>0</v>
      </c>
      <c r="Z86" s="55">
        <f t="shared" si="91"/>
        <v>0</v>
      </c>
      <c r="AA86" s="55">
        <f t="shared" si="91"/>
        <v>105000000</v>
      </c>
      <c r="AB86" s="55">
        <f t="shared" si="91"/>
        <v>0</v>
      </c>
      <c r="AC86" s="55">
        <f t="shared" si="91"/>
        <v>0</v>
      </c>
      <c r="AD86" s="55">
        <f t="shared" si="91"/>
        <v>0</v>
      </c>
      <c r="AE86" s="55">
        <f t="shared" si="91"/>
        <v>75000000</v>
      </c>
      <c r="AF86" s="55">
        <f t="shared" si="91"/>
        <v>0</v>
      </c>
      <c r="AG86" s="55">
        <f t="shared" si="91"/>
        <v>0</v>
      </c>
      <c r="AH86" s="55">
        <f t="shared" si="91"/>
        <v>75000000</v>
      </c>
      <c r="AI86" s="55">
        <f t="shared" si="91"/>
        <v>0</v>
      </c>
      <c r="AJ86" s="55">
        <f t="shared" si="91"/>
        <v>150000000</v>
      </c>
      <c r="AK86" s="55">
        <f t="shared" si="91"/>
        <v>0</v>
      </c>
      <c r="AL86" s="55">
        <f t="shared" si="91"/>
        <v>0</v>
      </c>
      <c r="AM86" s="55">
        <f t="shared" si="91"/>
        <v>0</v>
      </c>
      <c r="AN86" s="55">
        <f t="shared" si="91"/>
        <v>1149380000</v>
      </c>
      <c r="AO86" s="55"/>
      <c r="AP86" s="10">
        <f t="shared" si="87"/>
        <v>21</v>
      </c>
      <c r="AQ86" s="196">
        <f>AN86-'Debt Service'!EA49</f>
        <v>0</v>
      </c>
    </row>
    <row r="87" spans="1:43" outlineLevel="1">
      <c r="A87" s="49"/>
      <c r="B87" s="67"/>
      <c r="C87" s="52"/>
      <c r="D87" s="52"/>
      <c r="E87" s="51"/>
      <c r="F87" s="59"/>
      <c r="G87" s="51"/>
      <c r="H87" s="15"/>
      <c r="I87" s="15"/>
      <c r="J87" s="60"/>
      <c r="K87" s="60"/>
      <c r="L87" s="60"/>
      <c r="M87" s="60"/>
      <c r="N87" s="60"/>
      <c r="O87" s="15"/>
      <c r="P87" s="15"/>
      <c r="Q87" s="61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29"/>
      <c r="AO87" s="29"/>
      <c r="AP87" s="10">
        <f t="shared" si="87"/>
        <v>22</v>
      </c>
    </row>
    <row r="88" spans="1:43" outlineLevel="1">
      <c r="A88" s="134" t="s">
        <v>120</v>
      </c>
      <c r="B88" s="67"/>
      <c r="C88" s="52"/>
      <c r="D88" s="52"/>
      <c r="E88" s="51"/>
      <c r="F88" s="59"/>
      <c r="G88" s="51"/>
      <c r="H88" s="15"/>
      <c r="I88" s="15"/>
      <c r="J88" s="60"/>
      <c r="K88" s="60"/>
      <c r="L88" s="60"/>
      <c r="M88" s="60"/>
      <c r="N88" s="60"/>
      <c r="O88" s="15"/>
      <c r="P88" s="15"/>
      <c r="Q88" s="61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29"/>
      <c r="AO88" s="29"/>
      <c r="AP88" s="10">
        <f t="shared" si="87"/>
        <v>23</v>
      </c>
    </row>
    <row r="89" spans="1:43" s="2" customFormat="1" outlineLevel="1">
      <c r="A89" s="42" t="str">
        <f t="shared" ref="A89:A98" si="92">A68</f>
        <v>1997 Series</v>
      </c>
      <c r="B89" s="46"/>
      <c r="C89" s="15">
        <f>-VLOOKUP(C$2, 'Debt Service'!$A$206:$U$242, 'Debt Service'!$U$201, FALSE)</f>
        <v>0</v>
      </c>
      <c r="D89" s="15">
        <f>-VLOOKUP(D$2, 'Debt Service'!$A$206:$U$242, 'Debt Service'!$U$201, FALSE)</f>
        <v>0</v>
      </c>
      <c r="E89" s="15">
        <f>-VLOOKUP(E$2, 'Debt Service'!$A$206:$U$242, 'Debt Service'!$U$201, FALSE)</f>
        <v>0</v>
      </c>
      <c r="F89" s="15">
        <f>-VLOOKUP(F$2, 'Debt Service'!$A$206:$U$242, 'Debt Service'!$U$201, FALSE)</f>
        <v>-1681500</v>
      </c>
      <c r="G89" s="15">
        <f>-VLOOKUP(G$2, 'Debt Service'!$A$206:$U$242, 'Debt Service'!$U$201, FALSE)</f>
        <v>0</v>
      </c>
      <c r="H89" s="15">
        <f>-VLOOKUP(H$2, 'Debt Service'!$A$206:$U$242, 'Debt Service'!$U$201, FALSE)</f>
        <v>0</v>
      </c>
      <c r="I89" s="15">
        <f>-VLOOKUP(I$2, 'Debt Service'!$A$206:$U$242, 'Debt Service'!$U$201, FALSE)</f>
        <v>0</v>
      </c>
      <c r="J89" s="15">
        <f>-VLOOKUP(J$2, 'Debt Service'!$A$206:$U$242, 'Debt Service'!$U$201, FALSE)</f>
        <v>0</v>
      </c>
      <c r="K89" s="15">
        <f>-VLOOKUP(K$2, 'Debt Service'!$A$206:$U$242, 'Debt Service'!$U$201, FALSE)</f>
        <v>0</v>
      </c>
      <c r="L89" s="15">
        <f>-VLOOKUP(L$2, 'Debt Service'!$A$206:$U$242, 'Debt Service'!$U$201, FALSE)</f>
        <v>0</v>
      </c>
      <c r="M89" s="15">
        <f>-VLOOKUP(M$2, 'Debt Service'!$A$206:$U$242, 'Debt Service'!$U$201, FALSE)</f>
        <v>0</v>
      </c>
      <c r="N89" s="15">
        <f>-VLOOKUP(N$2, 'Debt Service'!$A$206:$U$242, 'Debt Service'!$U$201, FALSE)</f>
        <v>0</v>
      </c>
      <c r="O89" s="15">
        <f>-VLOOKUP(O$2, 'Debt Service'!$A$206:$U$242, 'Debt Service'!$U$201, FALSE)</f>
        <v>0</v>
      </c>
      <c r="P89" s="15">
        <f>-VLOOKUP(P$2, 'Debt Service'!$A$206:$U$242, 'Debt Service'!$U$201, FALSE)</f>
        <v>0</v>
      </c>
      <c r="Q89" s="15">
        <f>-VLOOKUP(Q$2, 'Debt Service'!$A$206:$U$242, 'Debt Service'!$U$201, FALSE)</f>
        <v>0</v>
      </c>
      <c r="R89" s="15">
        <f>-VLOOKUP(R$2, 'Debt Service'!$A$206:$U$242, 'Debt Service'!$U$201, FALSE)</f>
        <v>0</v>
      </c>
      <c r="S89" s="15">
        <f>-VLOOKUP(S$2, 'Debt Service'!$A$206:$U$242, 'Debt Service'!$U$201, FALSE)</f>
        <v>0</v>
      </c>
      <c r="T89" s="15">
        <f>-VLOOKUP(T$2, 'Debt Service'!$A$206:$U$242, 'Debt Service'!$U$201, FALSE)</f>
        <v>0</v>
      </c>
      <c r="U89" s="15">
        <f>-VLOOKUP(U$2, 'Debt Service'!$A$206:$U$242, 'Debt Service'!$U$201, FALSE)</f>
        <v>0</v>
      </c>
      <c r="V89" s="15">
        <f>-VLOOKUP(V$2, 'Debt Service'!$A$206:$U$242, 'Debt Service'!$U$201, FALSE)</f>
        <v>0</v>
      </c>
      <c r="W89" s="15">
        <f>-VLOOKUP(W$2, 'Debt Service'!$A$206:$U$242, 'Debt Service'!$U$201, FALSE)</f>
        <v>0</v>
      </c>
      <c r="X89" s="15">
        <f>-VLOOKUP(X$2, 'Debt Service'!$A$206:$U$242, 'Debt Service'!$U$201, FALSE)</f>
        <v>0</v>
      </c>
      <c r="Y89" s="15">
        <f>-VLOOKUP(Y$2, 'Debt Service'!$A$206:$U$242, 'Debt Service'!$U$201, FALSE)</f>
        <v>0</v>
      </c>
      <c r="Z89" s="15">
        <f>-VLOOKUP(Z$2, 'Debt Service'!$A$206:$U$242, 'Debt Service'!$U$201, FALSE)</f>
        <v>0</v>
      </c>
      <c r="AA89" s="15">
        <f>-VLOOKUP(AA$2, 'Debt Service'!$A$206:$U$242, 'Debt Service'!$U$201, FALSE)</f>
        <v>0</v>
      </c>
      <c r="AB89" s="15">
        <f>-VLOOKUP(AB$2, 'Debt Service'!$A$206:$U$242, 'Debt Service'!$U$201, FALSE)</f>
        <v>0</v>
      </c>
      <c r="AC89" s="15">
        <f>-VLOOKUP(AC$2, 'Debt Service'!$A$206:$U$242, 'Debt Service'!$U$201, FALSE)</f>
        <v>0</v>
      </c>
      <c r="AD89" s="15">
        <f>-VLOOKUP(AD$2, 'Debt Service'!$A$206:$U$242, 'Debt Service'!$U$201, FALSE)</f>
        <v>0</v>
      </c>
      <c r="AE89" s="15">
        <f>-VLOOKUP(AE$2, 'Debt Service'!$A$206:$U$242, 'Debt Service'!$U$201, FALSE)</f>
        <v>0</v>
      </c>
      <c r="AF89" s="15">
        <f>-VLOOKUP(AF$2, 'Debt Service'!$A$206:$U$242, 'Debt Service'!$U$201, FALSE)</f>
        <v>0</v>
      </c>
      <c r="AG89" s="15">
        <f>-VLOOKUP(AG$2, 'Debt Service'!$A$206:$U$242, 'Debt Service'!$U$201, FALSE)</f>
        <v>0</v>
      </c>
      <c r="AH89" s="15">
        <f>-VLOOKUP(AH$2, 'Debt Service'!$A$206:$U$242, 'Debt Service'!$U$201, FALSE)</f>
        <v>0</v>
      </c>
      <c r="AI89" s="15">
        <f>-VLOOKUP(AI$2, 'Debt Service'!$A$206:$U$242, 'Debt Service'!$U$201, FALSE)</f>
        <v>0</v>
      </c>
      <c r="AJ89" s="15">
        <f>-VLOOKUP(AJ$2, 'Debt Service'!$A$206:$U$242, 'Debt Service'!$U$201, FALSE)</f>
        <v>0</v>
      </c>
      <c r="AK89" s="15">
        <f>-VLOOKUP(AK$2, 'Debt Service'!$A$206:$U$242, 'Debt Service'!$U$201, FALSE)</f>
        <v>0</v>
      </c>
      <c r="AL89" s="15">
        <f>-VLOOKUP(AL$2, 'Debt Service'!$A$206:$U$242, 'Debt Service'!$U$201, FALSE)</f>
        <v>0</v>
      </c>
      <c r="AM89" s="15">
        <f>-VLOOKUP(AM$2, 'Debt Service'!$A$206:$U$242, 'Debt Service'!$U$201, FALSE)</f>
        <v>0</v>
      </c>
      <c r="AN89" s="93">
        <f>-'Debt Service'!U67</f>
        <v>-1681500</v>
      </c>
      <c r="AO89" s="29"/>
      <c r="AP89" s="10">
        <f t="shared" si="87"/>
        <v>24</v>
      </c>
      <c r="AQ89" s="73">
        <f>SUM(B89:AM89)-AN89</f>
        <v>0</v>
      </c>
    </row>
    <row r="90" spans="1:43" s="2" customFormat="1" outlineLevel="1">
      <c r="A90" s="42" t="str">
        <f t="shared" si="92"/>
        <v>1998 A Series</v>
      </c>
      <c r="B90" s="46"/>
      <c r="C90" s="15">
        <f>-VLOOKUP(C$2, 'Debt Service'!$A$206:$X$242, 'Debt Service'!$X$201, FALSE)</f>
        <v>0</v>
      </c>
      <c r="D90" s="15">
        <f>-VLOOKUP(D$2, 'Debt Service'!$A$206:$X$242, 'Debt Service'!$X$201, FALSE)</f>
        <v>0</v>
      </c>
      <c r="E90" s="15">
        <f>-VLOOKUP(E$2, 'Debt Service'!$A$206:$X$242, 'Debt Service'!$X$201, FALSE)</f>
        <v>0</v>
      </c>
      <c r="F90" s="15">
        <f>-VLOOKUP(F$2, 'Debt Service'!$A$206:$X$242, 'Debt Service'!$X$201, FALSE)</f>
        <v>0</v>
      </c>
      <c r="G90" s="15">
        <f>-VLOOKUP(G$2, 'Debt Service'!$A$206:$X$242, 'Debt Service'!$X$201, FALSE)</f>
        <v>-21953500</v>
      </c>
      <c r="H90" s="15">
        <f>-VLOOKUP(H$2, 'Debt Service'!$A$206:$X$242, 'Debt Service'!$X$201, FALSE)</f>
        <v>0</v>
      </c>
      <c r="I90" s="15">
        <f>-VLOOKUP(I$2, 'Debt Service'!$A$206:$X$242, 'Debt Service'!$X$201, FALSE)</f>
        <v>0</v>
      </c>
      <c r="J90" s="15">
        <f>-VLOOKUP(J$2, 'Debt Service'!$A$206:$X$242, 'Debt Service'!$X$201, FALSE)</f>
        <v>0</v>
      </c>
      <c r="K90" s="15">
        <f>-VLOOKUP(K$2, 'Debt Service'!$A$206:$X$242, 'Debt Service'!$X$201, FALSE)</f>
        <v>0</v>
      </c>
      <c r="L90" s="15">
        <f>-VLOOKUP(L$2, 'Debt Service'!$A$206:$X$242, 'Debt Service'!$X$201, FALSE)</f>
        <v>0</v>
      </c>
      <c r="M90" s="15">
        <f>-VLOOKUP(M$2, 'Debt Service'!$A$206:$X$242, 'Debt Service'!$X$201, FALSE)</f>
        <v>0</v>
      </c>
      <c r="N90" s="15">
        <f>-VLOOKUP(N$2, 'Debt Service'!$A$206:$X$242, 'Debt Service'!$X$201, FALSE)</f>
        <v>0</v>
      </c>
      <c r="O90" s="15">
        <f>-VLOOKUP(O$2, 'Debt Service'!$A$206:$X$242, 'Debt Service'!$X$201, FALSE)</f>
        <v>0</v>
      </c>
      <c r="P90" s="15">
        <f>-VLOOKUP(P$2, 'Debt Service'!$A$206:$X$242, 'Debt Service'!$X$201, FALSE)</f>
        <v>0</v>
      </c>
      <c r="Q90" s="15">
        <f>-VLOOKUP(Q$2, 'Debt Service'!$A$206:$X$242, 'Debt Service'!$X$201, FALSE)</f>
        <v>0</v>
      </c>
      <c r="R90" s="15">
        <f>-VLOOKUP(R$2, 'Debt Service'!$A$206:$X$242, 'Debt Service'!$X$201, FALSE)</f>
        <v>0</v>
      </c>
      <c r="S90" s="15">
        <f>-VLOOKUP(S$2, 'Debt Service'!$A$206:$X$242, 'Debt Service'!$X$201, FALSE)</f>
        <v>0</v>
      </c>
      <c r="T90" s="15">
        <f>-VLOOKUP(T$2, 'Debt Service'!$A$206:$X$242, 'Debt Service'!$X$201, FALSE)</f>
        <v>0</v>
      </c>
      <c r="U90" s="15">
        <f>-VLOOKUP(U$2, 'Debt Service'!$A$206:$X$242, 'Debt Service'!$X$201, FALSE)</f>
        <v>0</v>
      </c>
      <c r="V90" s="15">
        <f>-VLOOKUP(V$2, 'Debt Service'!$A$206:$X$242, 'Debt Service'!$X$201, FALSE)</f>
        <v>0</v>
      </c>
      <c r="W90" s="15">
        <f>-VLOOKUP(W$2, 'Debt Service'!$A$206:$X$242, 'Debt Service'!$X$201, FALSE)</f>
        <v>0</v>
      </c>
      <c r="X90" s="15">
        <f>-VLOOKUP(X$2, 'Debt Service'!$A$206:$X$242, 'Debt Service'!$X$201, FALSE)</f>
        <v>0</v>
      </c>
      <c r="Y90" s="15">
        <f>-VLOOKUP(Y$2, 'Debt Service'!$A$206:$X$242, 'Debt Service'!$X$201, FALSE)</f>
        <v>0</v>
      </c>
      <c r="Z90" s="15">
        <f>-VLOOKUP(Z$2, 'Debt Service'!$A$206:$X$242, 'Debt Service'!$X$201, FALSE)</f>
        <v>0</v>
      </c>
      <c r="AA90" s="15">
        <f>-VLOOKUP(AA$2, 'Debt Service'!$A$206:$X$242, 'Debt Service'!$X$201, FALSE)</f>
        <v>0</v>
      </c>
      <c r="AB90" s="15">
        <f>-VLOOKUP(AB$2, 'Debt Service'!$A$206:$X$242, 'Debt Service'!$X$201, FALSE)</f>
        <v>0</v>
      </c>
      <c r="AC90" s="15">
        <f>-VLOOKUP(AC$2, 'Debt Service'!$A$206:$X$242, 'Debt Service'!$X$201, FALSE)</f>
        <v>0</v>
      </c>
      <c r="AD90" s="15">
        <f>-VLOOKUP(AD$2, 'Debt Service'!$A$206:$X$242, 'Debt Service'!$X$201, FALSE)</f>
        <v>0</v>
      </c>
      <c r="AE90" s="15">
        <f>-VLOOKUP(AE$2, 'Debt Service'!$A$206:$X$242, 'Debt Service'!$X$201, FALSE)</f>
        <v>0</v>
      </c>
      <c r="AF90" s="15">
        <f>-VLOOKUP(AF$2, 'Debt Service'!$A$206:$X$242, 'Debt Service'!$X$201, FALSE)</f>
        <v>0</v>
      </c>
      <c r="AG90" s="15">
        <f>-VLOOKUP(AG$2, 'Debt Service'!$A$206:$X$242, 'Debt Service'!$X$201, FALSE)</f>
        <v>0</v>
      </c>
      <c r="AH90" s="15">
        <f>-VLOOKUP(AH$2, 'Debt Service'!$A$206:$X$242, 'Debt Service'!$X$201, FALSE)</f>
        <v>0</v>
      </c>
      <c r="AI90" s="15">
        <f>-VLOOKUP(AI$2, 'Debt Service'!$A$206:$X$242, 'Debt Service'!$X$201, FALSE)</f>
        <v>0</v>
      </c>
      <c r="AJ90" s="15">
        <f>-VLOOKUP(AJ$2, 'Debt Service'!$A$206:$X$242, 'Debt Service'!$X$201, FALSE)</f>
        <v>0</v>
      </c>
      <c r="AK90" s="15">
        <f>-VLOOKUP(AK$2, 'Debt Service'!$A$206:$X$242, 'Debt Service'!$X$201, FALSE)</f>
        <v>0</v>
      </c>
      <c r="AL90" s="15">
        <f>-VLOOKUP(AL$2, 'Debt Service'!$A$206:$X$242, 'Debt Service'!$X$201, FALSE)</f>
        <v>0</v>
      </c>
      <c r="AM90" s="15">
        <f>-VLOOKUP(AM$2, 'Debt Service'!$A$206:$X$242, 'Debt Service'!$X$201, FALSE)</f>
        <v>0</v>
      </c>
      <c r="AN90" s="93">
        <f>-'Debt Service'!X67</f>
        <v>-21953500</v>
      </c>
      <c r="AO90" s="29"/>
      <c r="AP90" s="10">
        <f t="shared" si="87"/>
        <v>25</v>
      </c>
      <c r="AQ90" s="73">
        <f>SUM(B90:AM90)-AN90</f>
        <v>0</v>
      </c>
    </row>
    <row r="91" spans="1:43" s="2" customFormat="1" outlineLevel="1">
      <c r="A91" s="42" t="str">
        <f t="shared" si="92"/>
        <v>2002 C Series</v>
      </c>
      <c r="B91" s="46"/>
      <c r="C91" s="15">
        <f>-VLOOKUP(C$2, 'Debt Service'!$A$206:$AB$242, 'Debt Service'!$AB$201, FALSE)</f>
        <v>0</v>
      </c>
      <c r="D91" s="15">
        <f>-VLOOKUP(D$2, 'Debt Service'!$A$206:$AB$242, 'Debt Service'!$AB$201, FALSE)</f>
        <v>0</v>
      </c>
      <c r="E91" s="15">
        <f>-VLOOKUP(E$2, 'Debt Service'!$A$206:$AB$242, 'Debt Service'!$AB$201, FALSE)</f>
        <v>0</v>
      </c>
      <c r="F91" s="15">
        <f>-VLOOKUP(F$2, 'Debt Service'!$A$206:$AB$242, 'Debt Service'!$AB$201, FALSE)</f>
        <v>0</v>
      </c>
      <c r="G91" s="15">
        <f>-VLOOKUP(G$2, 'Debt Service'!$A$206:$AB$242, 'Debt Service'!$AB$201, FALSE)</f>
        <v>0</v>
      </c>
      <c r="H91" s="15">
        <f>-VLOOKUP(H$2, 'Debt Service'!$A$206:$AB$242, 'Debt Service'!$AB$201, FALSE)</f>
        <v>0</v>
      </c>
      <c r="I91" s="15">
        <f>-VLOOKUP(I$2, 'Debt Service'!$A$206:$AB$242, 'Debt Service'!$AB$201, FALSE)</f>
        <v>0</v>
      </c>
      <c r="J91" s="15">
        <f>-VLOOKUP(J$2, 'Debt Service'!$A$206:$AB$242, 'Debt Service'!$AB$201, FALSE)</f>
        <v>0</v>
      </c>
      <c r="K91" s="15">
        <f>-VLOOKUP(K$2, 'Debt Service'!$A$206:$AB$242, 'Debt Service'!$AB$201, FALSE)</f>
        <v>-12500000</v>
      </c>
      <c r="L91" s="15">
        <f>-VLOOKUP(L$2, 'Debt Service'!$A$206:$AB$242, 'Debt Service'!$AB$201, FALSE)</f>
        <v>0</v>
      </c>
      <c r="M91" s="15">
        <f>-VLOOKUP(M$2, 'Debt Service'!$A$206:$AB$242, 'Debt Service'!$AB$201, FALSE)</f>
        <v>0</v>
      </c>
      <c r="N91" s="15">
        <f>-VLOOKUP(N$2, 'Debt Service'!$A$206:$AB$242, 'Debt Service'!$AB$201, FALSE)</f>
        <v>0</v>
      </c>
      <c r="O91" s="15">
        <f>-VLOOKUP(O$2, 'Debt Service'!$A$206:$AB$242, 'Debt Service'!$AB$201, FALSE)</f>
        <v>0</v>
      </c>
      <c r="P91" s="15">
        <f>-VLOOKUP(P$2, 'Debt Service'!$A$206:$AB$242, 'Debt Service'!$AB$201, FALSE)</f>
        <v>0</v>
      </c>
      <c r="Q91" s="15">
        <f>-VLOOKUP(Q$2, 'Debt Service'!$A$206:$AB$242, 'Debt Service'!$AB$201, FALSE)</f>
        <v>0</v>
      </c>
      <c r="R91" s="15">
        <f>-VLOOKUP(R$2, 'Debt Service'!$A$206:$AB$242, 'Debt Service'!$AB$201, FALSE)</f>
        <v>0</v>
      </c>
      <c r="S91" s="15">
        <f>-VLOOKUP(S$2, 'Debt Service'!$A$206:$AB$242, 'Debt Service'!$AB$201, FALSE)</f>
        <v>0</v>
      </c>
      <c r="T91" s="15">
        <f>-VLOOKUP(T$2, 'Debt Service'!$A$206:$AB$242, 'Debt Service'!$AB$201, FALSE)</f>
        <v>0</v>
      </c>
      <c r="U91" s="15">
        <f>-VLOOKUP(U$2, 'Debt Service'!$A$206:$AB$242, 'Debt Service'!$AB$201, FALSE)</f>
        <v>0</v>
      </c>
      <c r="V91" s="15">
        <f>-VLOOKUP(V$2, 'Debt Service'!$A$206:$AB$242, 'Debt Service'!$AB$201, FALSE)</f>
        <v>0</v>
      </c>
      <c r="W91" s="15">
        <f>-VLOOKUP(W$2, 'Debt Service'!$A$206:$AB$242, 'Debt Service'!$AB$201, FALSE)</f>
        <v>0</v>
      </c>
      <c r="X91" s="15">
        <f>-VLOOKUP(X$2, 'Debt Service'!$A$206:$AB$242, 'Debt Service'!$AB$201, FALSE)</f>
        <v>0</v>
      </c>
      <c r="Y91" s="15">
        <f>-VLOOKUP(Y$2, 'Debt Service'!$A$206:$AB$242, 'Debt Service'!$AB$201, FALSE)</f>
        <v>0</v>
      </c>
      <c r="Z91" s="15">
        <f>-VLOOKUP(Z$2, 'Debt Service'!$A$206:$AB$242, 'Debt Service'!$AB$201, FALSE)</f>
        <v>0</v>
      </c>
      <c r="AA91" s="15">
        <f>-VLOOKUP(AA$2, 'Debt Service'!$A$206:$AB$242, 'Debt Service'!$AB$201, FALSE)</f>
        <v>0</v>
      </c>
      <c r="AB91" s="15">
        <f>-VLOOKUP(AB$2, 'Debt Service'!$A$206:$AB$242, 'Debt Service'!$AB$201, FALSE)</f>
        <v>0</v>
      </c>
      <c r="AC91" s="15">
        <f>-VLOOKUP(AC$2, 'Debt Service'!$A$206:$AB$242, 'Debt Service'!$AB$201, FALSE)</f>
        <v>0</v>
      </c>
      <c r="AD91" s="15">
        <f>-VLOOKUP(AD$2, 'Debt Service'!$A$206:$AB$242, 'Debt Service'!$AB$201, FALSE)</f>
        <v>0</v>
      </c>
      <c r="AE91" s="15">
        <f>-VLOOKUP(AE$2, 'Debt Service'!$A$206:$AB$242, 'Debt Service'!$AB$201, FALSE)</f>
        <v>0</v>
      </c>
      <c r="AF91" s="15">
        <f>-VLOOKUP(AF$2, 'Debt Service'!$A$206:$AB$242, 'Debt Service'!$AB$201, FALSE)</f>
        <v>0</v>
      </c>
      <c r="AG91" s="15">
        <f>-VLOOKUP(AG$2, 'Debt Service'!$A$206:$AB$242, 'Debt Service'!$AB$201, FALSE)</f>
        <v>0</v>
      </c>
      <c r="AH91" s="15">
        <f>-VLOOKUP(AH$2, 'Debt Service'!$A$206:$AB$242, 'Debt Service'!$AB$201, FALSE)</f>
        <v>0</v>
      </c>
      <c r="AI91" s="15">
        <f>-VLOOKUP(AI$2, 'Debt Service'!$A$206:$AB$242, 'Debt Service'!$AB$201, FALSE)</f>
        <v>0</v>
      </c>
      <c r="AJ91" s="15">
        <f>-VLOOKUP(AJ$2, 'Debt Service'!$A$206:$AB$242, 'Debt Service'!$AB$201, FALSE)</f>
        <v>0</v>
      </c>
      <c r="AK91" s="15">
        <f>-VLOOKUP(AK$2, 'Debt Service'!$A$206:$AB$242, 'Debt Service'!$AB$201, FALSE)</f>
        <v>0</v>
      </c>
      <c r="AL91" s="15">
        <f>-VLOOKUP(AL$2, 'Debt Service'!$A$206:$AB$242, 'Debt Service'!$AB$201, FALSE)</f>
        <v>0</v>
      </c>
      <c r="AM91" s="15">
        <f>-VLOOKUP(AM$2, 'Debt Service'!$A$206:$AB$242, 'Debt Service'!$AB$201, FALSE)</f>
        <v>0</v>
      </c>
      <c r="AN91" s="93">
        <f>-'Debt Service'!AB67</f>
        <v>-12500000</v>
      </c>
      <c r="AO91" s="29"/>
      <c r="AP91" s="10">
        <f t="shared" si="87"/>
        <v>26</v>
      </c>
      <c r="AQ91" s="73">
        <f>SUM(B91:AM91)-AN91</f>
        <v>0</v>
      </c>
    </row>
    <row r="92" spans="1:43" s="2" customFormat="1" outlineLevel="1">
      <c r="A92" s="42" t="str">
        <f t="shared" si="92"/>
        <v>2007 Series</v>
      </c>
      <c r="B92" s="46"/>
      <c r="C92" s="15">
        <f>-VLOOKUP(C$2, 'Debt Service'!$A$206:$AV$242, 'Debt Service'!$AV$201, FALSE)</f>
        <v>0</v>
      </c>
      <c r="D92" s="15">
        <f>-VLOOKUP(D$2, 'Debt Service'!$A$206:$AV$242, 'Debt Service'!$AV$201, FALSE)</f>
        <v>0</v>
      </c>
      <c r="E92" s="15">
        <f>-VLOOKUP(E$2, 'Debt Service'!$A$206:$AV$242, 'Debt Service'!$AV$201, FALSE)</f>
        <v>0</v>
      </c>
      <c r="F92" s="15">
        <f>-VLOOKUP(F$2, 'Debt Service'!$A$206:$AV$242, 'Debt Service'!$AV$201, FALSE)</f>
        <v>0</v>
      </c>
      <c r="G92" s="15">
        <f>-VLOOKUP(G$2, 'Debt Service'!$A$206:$AV$242, 'Debt Service'!$AV$201, FALSE)</f>
        <v>0</v>
      </c>
      <c r="H92" s="15">
        <f>-VLOOKUP(H$2, 'Debt Service'!$A$206:$AV$242, 'Debt Service'!$AV$201, FALSE)</f>
        <v>0</v>
      </c>
      <c r="I92" s="15">
        <f>-VLOOKUP(I$2, 'Debt Service'!$A$206:$AV$242, 'Debt Service'!$AV$201, FALSE)</f>
        <v>0</v>
      </c>
      <c r="J92" s="15">
        <f>-VLOOKUP(J$2, 'Debt Service'!$A$206:$AV$242, 'Debt Service'!$AV$201, FALSE)</f>
        <v>0</v>
      </c>
      <c r="K92" s="15">
        <f>-VLOOKUP(K$2, 'Debt Service'!$A$206:$AV$242, 'Debt Service'!$AV$201, FALSE)</f>
        <v>0</v>
      </c>
      <c r="L92" s="15">
        <f>-VLOOKUP(L$2, 'Debt Service'!$A$206:$AV$242, 'Debt Service'!$AV$201, FALSE)</f>
        <v>0</v>
      </c>
      <c r="M92" s="15">
        <f>-VLOOKUP(M$2, 'Debt Service'!$A$206:$AV$242, 'Debt Service'!$AV$201, FALSE)</f>
        <v>0</v>
      </c>
      <c r="N92" s="15">
        <f>-VLOOKUP(N$2, 'Debt Service'!$A$206:$AV$242, 'Debt Service'!$AV$201, FALSE)</f>
        <v>0</v>
      </c>
      <c r="O92" s="15">
        <f>-VLOOKUP(O$2, 'Debt Service'!$A$206:$AV$242, 'Debt Service'!$AV$201, FALSE)</f>
        <v>0</v>
      </c>
      <c r="P92" s="15">
        <f>-VLOOKUP(P$2, 'Debt Service'!$A$206:$AV$242, 'Debt Service'!$AV$201, FALSE)</f>
        <v>-3628000</v>
      </c>
      <c r="Q92" s="15">
        <f>-VLOOKUP(Q$2, 'Debt Service'!$A$206:$AV$242, 'Debt Service'!$AV$201, FALSE)</f>
        <v>0</v>
      </c>
      <c r="R92" s="15">
        <f>-VLOOKUP(R$2, 'Debt Service'!$A$206:$AV$242, 'Debt Service'!$AV$201, FALSE)</f>
        <v>0</v>
      </c>
      <c r="S92" s="15">
        <f>-VLOOKUP(S$2, 'Debt Service'!$A$206:$AV$242, 'Debt Service'!$AV$201, FALSE)</f>
        <v>0</v>
      </c>
      <c r="T92" s="15">
        <f>-VLOOKUP(T$2, 'Debt Service'!$A$206:$AV$242, 'Debt Service'!$AV$201, FALSE)</f>
        <v>0</v>
      </c>
      <c r="U92" s="15">
        <f>-VLOOKUP(U$2, 'Debt Service'!$A$206:$AV$242, 'Debt Service'!$AV$201, FALSE)</f>
        <v>-3140000</v>
      </c>
      <c r="V92" s="15">
        <f>-VLOOKUP(V$2, 'Debt Service'!$A$206:$AV$242, 'Debt Service'!$AV$201, FALSE)</f>
        <v>0</v>
      </c>
      <c r="W92" s="15">
        <f>-VLOOKUP(W$2, 'Debt Service'!$A$206:$AV$242, 'Debt Service'!$AV$201, FALSE)</f>
        <v>0</v>
      </c>
      <c r="X92" s="15">
        <f>-VLOOKUP(X$2, 'Debt Service'!$A$206:$AV$242, 'Debt Service'!$AV$201, FALSE)</f>
        <v>0</v>
      </c>
      <c r="Y92" s="15">
        <f>-VLOOKUP(Y$2, 'Debt Service'!$A$206:$AV$242, 'Debt Service'!$AV$201, FALSE)</f>
        <v>0</v>
      </c>
      <c r="Z92" s="15">
        <f>-VLOOKUP(Z$2, 'Debt Service'!$A$206:$AV$242, 'Debt Service'!$AV$201, FALSE)</f>
        <v>0</v>
      </c>
      <c r="AA92" s="15">
        <f>-VLOOKUP(AA$2, 'Debt Service'!$A$206:$AV$242, 'Debt Service'!$AV$201, FALSE)</f>
        <v>0</v>
      </c>
      <c r="AB92" s="15">
        <f>-VLOOKUP(AB$2, 'Debt Service'!$A$206:$AV$242, 'Debt Service'!$AV$201, FALSE)</f>
        <v>0</v>
      </c>
      <c r="AC92" s="15">
        <f>-VLOOKUP(AC$2, 'Debt Service'!$A$206:$AV$242, 'Debt Service'!$AV$201, FALSE)</f>
        <v>0</v>
      </c>
      <c r="AD92" s="15">
        <f>-VLOOKUP(AD$2, 'Debt Service'!$A$206:$AV$242, 'Debt Service'!$AV$201, FALSE)</f>
        <v>0</v>
      </c>
      <c r="AE92" s="15">
        <f>-VLOOKUP(AE$2, 'Debt Service'!$A$206:$AV$242, 'Debt Service'!$AV$201, FALSE)</f>
        <v>0</v>
      </c>
      <c r="AF92" s="15">
        <f>-VLOOKUP(AF$2, 'Debt Service'!$A$206:$AV$242, 'Debt Service'!$AV$201, FALSE)</f>
        <v>0</v>
      </c>
      <c r="AG92" s="15">
        <f>-VLOOKUP(AG$2, 'Debt Service'!$A$206:$AV$242, 'Debt Service'!$AV$201, FALSE)</f>
        <v>0</v>
      </c>
      <c r="AH92" s="15">
        <f>-VLOOKUP(AH$2, 'Debt Service'!$A$206:$AV$242, 'Debt Service'!$AV$201, FALSE)</f>
        <v>0</v>
      </c>
      <c r="AI92" s="15">
        <f>-VLOOKUP(AI$2, 'Debt Service'!$A$206:$AV$242, 'Debt Service'!$AV$201, FALSE)</f>
        <v>0</v>
      </c>
      <c r="AJ92" s="15">
        <f>-VLOOKUP(AJ$2, 'Debt Service'!$A$206:$AV$242, 'Debt Service'!$AV$201, FALSE)</f>
        <v>0</v>
      </c>
      <c r="AK92" s="15">
        <f>-VLOOKUP(AK$2, 'Debt Service'!$A$206:$AV$242, 'Debt Service'!$AV$201, FALSE)</f>
        <v>0</v>
      </c>
      <c r="AL92" s="15">
        <f>-VLOOKUP(AL$2, 'Debt Service'!$A$206:$AV$242, 'Debt Service'!$AV$201, FALSE)</f>
        <v>0</v>
      </c>
      <c r="AM92" s="15">
        <f>-VLOOKUP(AM$2, 'Debt Service'!$A$206:$AV$242, 'Debt Service'!$AV$201, FALSE)</f>
        <v>0</v>
      </c>
      <c r="AN92" s="93">
        <f>-'Debt Service'!AV67</f>
        <v>-6768000</v>
      </c>
      <c r="AO92" s="29"/>
      <c r="AP92" s="10">
        <f t="shared" si="87"/>
        <v>27</v>
      </c>
      <c r="AQ92" s="73">
        <f t="shared" ref="AQ92:AQ105" si="93">SUM(B92:AM92)-AN92</f>
        <v>0</v>
      </c>
    </row>
    <row r="93" spans="1:43" s="2" customFormat="1" outlineLevel="1">
      <c r="A93" s="42" t="str">
        <f t="shared" si="92"/>
        <v>2018 Series</v>
      </c>
      <c r="B93" s="46"/>
      <c r="C93" s="15">
        <f>-VLOOKUP(C$2, 'Debt Service'!$A$206:$BK$242, 'Debt Service'!$BK$201, FALSE)</f>
        <v>0</v>
      </c>
      <c r="D93" s="15">
        <f>-VLOOKUP(D$2, 'Debt Service'!$A$206:$BK$242, 'Debt Service'!$BK$201, FALSE)</f>
        <v>0</v>
      </c>
      <c r="E93" s="15">
        <f>-VLOOKUP(E$2, 'Debt Service'!$A$206:$BK$242, 'Debt Service'!$BK$201, FALSE)</f>
        <v>0</v>
      </c>
      <c r="F93" s="15">
        <f>-VLOOKUP(F$2, 'Debt Service'!$A$206:$BK$242, 'Debt Service'!$BK$201, FALSE)</f>
        <v>0</v>
      </c>
      <c r="G93" s="15">
        <f>-VLOOKUP(G$2, 'Debt Service'!$A$206:$BK$242, 'Debt Service'!$BK$201, FALSE)</f>
        <v>0</v>
      </c>
      <c r="H93" s="15">
        <f>-VLOOKUP(H$2, 'Debt Service'!$A$206:$BK$242, 'Debt Service'!$BK$201, FALSE)</f>
        <v>0</v>
      </c>
      <c r="I93" s="15">
        <f>-VLOOKUP(I$2, 'Debt Service'!$A$206:$BK$242, 'Debt Service'!$BK$201, FALSE)</f>
        <v>0</v>
      </c>
      <c r="J93" s="15">
        <f>-VLOOKUP(J$2, 'Debt Service'!$A$206:$BK$242, 'Debt Service'!$BK$201, FALSE)</f>
        <v>0</v>
      </c>
      <c r="K93" s="15">
        <f>-VLOOKUP(K$2, 'Debt Service'!$A$206:$BK$242, 'Debt Service'!$BK$201, FALSE)</f>
        <v>0</v>
      </c>
      <c r="L93" s="15">
        <f>-VLOOKUP(L$2, 'Debt Service'!$A$206:$BK$242, 'Debt Service'!$BK$201, FALSE)</f>
        <v>-561000</v>
      </c>
      <c r="M93" s="15">
        <f>-VLOOKUP(M$2, 'Debt Service'!$A$206:$BK$242, 'Debt Service'!$BK$201, FALSE)</f>
        <v>0</v>
      </c>
      <c r="N93" s="15">
        <f>-VLOOKUP(N$2, 'Debt Service'!$A$206:$BK$242, 'Debt Service'!$BK$201, FALSE)</f>
        <v>0</v>
      </c>
      <c r="O93" s="15">
        <f>-VLOOKUP(O$2, 'Debt Service'!$A$206:$BK$242, 'Debt Service'!$BK$201, FALSE)</f>
        <v>0</v>
      </c>
      <c r="P93" s="15">
        <f>-VLOOKUP(P$2, 'Debt Service'!$A$206:$BK$242, 'Debt Service'!$BK$201, FALSE)</f>
        <v>0</v>
      </c>
      <c r="Q93" s="15">
        <f>-VLOOKUP(Q$2, 'Debt Service'!$A$206:$BK$242, 'Debt Service'!$BK$201, FALSE)</f>
        <v>0</v>
      </c>
      <c r="R93" s="15">
        <f>-VLOOKUP(R$2, 'Debt Service'!$A$206:$BK$242, 'Debt Service'!$BK$201, FALSE)</f>
        <v>0</v>
      </c>
      <c r="S93" s="15">
        <f>-VLOOKUP(S$2, 'Debt Service'!$A$206:$BK$242, 'Debt Service'!$BK$201, FALSE)</f>
        <v>0</v>
      </c>
      <c r="T93" s="15">
        <f>-VLOOKUP(T$2, 'Debt Service'!$A$206:$BK$242, 'Debt Service'!$BK$201, FALSE)</f>
        <v>0</v>
      </c>
      <c r="U93" s="15">
        <f>-VLOOKUP(U$2, 'Debt Service'!$A$206:$BK$242, 'Debt Service'!$BK$201, FALSE)</f>
        <v>0</v>
      </c>
      <c r="V93" s="15">
        <f>-VLOOKUP(V$2, 'Debt Service'!$A$206:$BK$242, 'Debt Service'!$BK$201, FALSE)</f>
        <v>0</v>
      </c>
      <c r="W93" s="15">
        <f>-VLOOKUP(W$2, 'Debt Service'!$A$206:$BK$242, 'Debt Service'!$BK$201, FALSE)</f>
        <v>0</v>
      </c>
      <c r="X93" s="15">
        <f>-VLOOKUP(X$2, 'Debt Service'!$A$206:$BK$242, 'Debt Service'!$BK$201, FALSE)</f>
        <v>0</v>
      </c>
      <c r="Y93" s="15">
        <f>-VLOOKUP(Y$2, 'Debt Service'!$A$206:$BK$242, 'Debt Service'!$BK$201, FALSE)</f>
        <v>0</v>
      </c>
      <c r="Z93" s="15">
        <f>-VLOOKUP(Z$2, 'Debt Service'!$A$206:$BK$242, 'Debt Service'!$BK$201, FALSE)</f>
        <v>0</v>
      </c>
      <c r="AA93" s="15">
        <f>-VLOOKUP(AA$2, 'Debt Service'!$A$206:$BK$242, 'Debt Service'!$BK$201, FALSE)</f>
        <v>-5682000</v>
      </c>
      <c r="AB93" s="15">
        <f>-VLOOKUP(AB$2, 'Debt Service'!$A$206:$BK$242, 'Debt Service'!$BK$201, FALSE)</f>
        <v>0</v>
      </c>
      <c r="AC93" s="15">
        <f>-VLOOKUP(AC$2, 'Debt Service'!$A$206:$BK$242, 'Debt Service'!$BK$201, FALSE)</f>
        <v>0</v>
      </c>
      <c r="AD93" s="15">
        <f>-VLOOKUP(AD$2, 'Debt Service'!$A$206:$BK$242, 'Debt Service'!$BK$201, FALSE)</f>
        <v>0</v>
      </c>
      <c r="AE93" s="15">
        <f>-VLOOKUP(AE$2, 'Debt Service'!$A$206:$BK$242, 'Debt Service'!$BK$201, FALSE)</f>
        <v>0</v>
      </c>
      <c r="AF93" s="15">
        <f>-VLOOKUP(AF$2, 'Debt Service'!$A$206:$BK$242, 'Debt Service'!$BK$201, FALSE)</f>
        <v>0</v>
      </c>
      <c r="AG93" s="15">
        <f>-VLOOKUP(AG$2, 'Debt Service'!$A$206:$BK$242, 'Debt Service'!$BK$201, FALSE)</f>
        <v>0</v>
      </c>
      <c r="AH93" s="15">
        <f>-VLOOKUP(AH$2, 'Debt Service'!$A$206:$BK$242, 'Debt Service'!$BK$201, FALSE)</f>
        <v>0</v>
      </c>
      <c r="AI93" s="15">
        <f>-VLOOKUP(AI$2, 'Debt Service'!$A$206:$BK$242, 'Debt Service'!$BK$201, FALSE)</f>
        <v>0</v>
      </c>
      <c r="AJ93" s="15">
        <f>-VLOOKUP(AJ$2, 'Debt Service'!$A$206:$BK$242, 'Debt Service'!$BK$201, FALSE)</f>
        <v>0</v>
      </c>
      <c r="AK93" s="15">
        <f>-VLOOKUP(AK$2, 'Debt Service'!$A$206:$BK$242, 'Debt Service'!$BK$201, FALSE)</f>
        <v>0</v>
      </c>
      <c r="AL93" s="15">
        <f>-VLOOKUP(AL$2, 'Debt Service'!$A$206:$BK$242, 'Debt Service'!$BK$201, FALSE)</f>
        <v>0</v>
      </c>
      <c r="AM93" s="15">
        <f>-VLOOKUP(AM$2, 'Debt Service'!$A$206:$BK$242, 'Debt Service'!$BK$201, FALSE)</f>
        <v>0</v>
      </c>
      <c r="AN93" s="93">
        <f>-'Debt Service'!BK67</f>
        <v>-6243000</v>
      </c>
      <c r="AO93" s="29"/>
      <c r="AP93" s="10">
        <f t="shared" si="87"/>
        <v>28</v>
      </c>
      <c r="AQ93" s="73">
        <f t="shared" si="93"/>
        <v>0</v>
      </c>
    </row>
    <row r="94" spans="1:43" s="2" customFormat="1" outlineLevel="1">
      <c r="A94" s="42" t="str">
        <f t="shared" si="92"/>
        <v>2020 BCD Series</v>
      </c>
      <c r="B94" s="46"/>
      <c r="C94" s="15">
        <f>-VLOOKUP(C$2, 'Debt Service'!$A$206:$BV$242, 'Debt Service'!$BV$201, FALSE)</f>
        <v>-1992000</v>
      </c>
      <c r="D94" s="15">
        <f>-VLOOKUP(D$2, 'Debt Service'!$A$206:$BV$242, 'Debt Service'!$BV$201, FALSE)</f>
        <v>0</v>
      </c>
      <c r="E94" s="15">
        <f>-VLOOKUP(E$2, 'Debt Service'!$A$206:$BV$242, 'Debt Service'!$BV$201, FALSE)</f>
        <v>0</v>
      </c>
      <c r="F94" s="15">
        <f>-VLOOKUP(F$2, 'Debt Service'!$A$206:$BV$242, 'Debt Service'!$BV$201, FALSE)</f>
        <v>0</v>
      </c>
      <c r="G94" s="15">
        <f>-VLOOKUP(G$2, 'Debt Service'!$A$206:$BV$242, 'Debt Service'!$BV$201, FALSE)</f>
        <v>0</v>
      </c>
      <c r="H94" s="15">
        <f>-VLOOKUP(H$2, 'Debt Service'!$A$206:$BV$242, 'Debt Service'!$BV$201, FALSE)</f>
        <v>0</v>
      </c>
      <c r="I94" s="15">
        <f>-VLOOKUP(I$2, 'Debt Service'!$A$206:$BV$242, 'Debt Service'!$BV$201, FALSE)</f>
        <v>0</v>
      </c>
      <c r="J94" s="15">
        <f>-VLOOKUP(J$2, 'Debt Service'!$A$206:$BV$242, 'Debt Service'!$BV$201, FALSE)</f>
        <v>0</v>
      </c>
      <c r="K94" s="15">
        <f>-VLOOKUP(K$2, 'Debt Service'!$A$206:$BV$242, 'Debt Service'!$BV$201, FALSE)</f>
        <v>0</v>
      </c>
      <c r="L94" s="15">
        <f>-VLOOKUP(L$2, 'Debt Service'!$A$206:$BV$242, 'Debt Service'!$BV$201, FALSE)</f>
        <v>0</v>
      </c>
      <c r="M94" s="15">
        <f>-VLOOKUP(M$2, 'Debt Service'!$A$206:$BV$242, 'Debt Service'!$BV$201, FALSE)</f>
        <v>0</v>
      </c>
      <c r="N94" s="15">
        <f>-VLOOKUP(N$2, 'Debt Service'!$A$206:$BV$242, 'Debt Service'!$BV$201, FALSE)</f>
        <v>0</v>
      </c>
      <c r="O94" s="15">
        <f>-VLOOKUP(O$2, 'Debt Service'!$A$206:$BV$242, 'Debt Service'!$BV$201, FALSE)</f>
        <v>0</v>
      </c>
      <c r="P94" s="15">
        <f>-VLOOKUP(P$2, 'Debt Service'!$A$206:$BV$242, 'Debt Service'!$BV$201, FALSE)</f>
        <v>0</v>
      </c>
      <c r="Q94" s="15">
        <f>-VLOOKUP(Q$2, 'Debt Service'!$A$206:$BV$242, 'Debt Service'!$BV$201, FALSE)</f>
        <v>0</v>
      </c>
      <c r="R94" s="15">
        <f>-VLOOKUP(R$2, 'Debt Service'!$A$206:$BV$242, 'Debt Service'!$BV$201, FALSE)</f>
        <v>0</v>
      </c>
      <c r="S94" s="15">
        <f>-VLOOKUP(S$2, 'Debt Service'!$A$206:$BV$242, 'Debt Service'!$BV$201, FALSE)</f>
        <v>0</v>
      </c>
      <c r="T94" s="15">
        <f>-VLOOKUP(T$2, 'Debt Service'!$A$206:$BV$242, 'Debt Service'!$BV$201, FALSE)</f>
        <v>0</v>
      </c>
      <c r="U94" s="15">
        <f>-VLOOKUP(U$2, 'Debt Service'!$A$206:$BV$242, 'Debt Service'!$BV$201, FALSE)</f>
        <v>0</v>
      </c>
      <c r="V94" s="15">
        <f>-VLOOKUP(V$2, 'Debt Service'!$A$206:$BV$242, 'Debt Service'!$BV$201, FALSE)</f>
        <v>0</v>
      </c>
      <c r="W94" s="15">
        <f>-VLOOKUP(W$2, 'Debt Service'!$A$206:$BV$242, 'Debt Service'!$BV$201, FALSE)</f>
        <v>0</v>
      </c>
      <c r="X94" s="15">
        <f>-VLOOKUP(X$2, 'Debt Service'!$A$206:$BV$242, 'Debt Service'!$BV$201, FALSE)</f>
        <v>0</v>
      </c>
      <c r="Y94" s="15">
        <f>-VLOOKUP(Y$2, 'Debt Service'!$A$206:$BV$242, 'Debt Service'!$BV$201, FALSE)</f>
        <v>0</v>
      </c>
      <c r="Z94" s="15">
        <f>-VLOOKUP(Z$2, 'Debt Service'!$A$206:$BV$242, 'Debt Service'!$BV$201, FALSE)</f>
        <v>0</v>
      </c>
      <c r="AA94" s="15">
        <f>-VLOOKUP(AA$2, 'Debt Service'!$A$206:$BV$242, 'Debt Service'!$BV$201, FALSE)</f>
        <v>0</v>
      </c>
      <c r="AB94" s="15">
        <f>-VLOOKUP(AB$2, 'Debt Service'!$A$206:$BV$242, 'Debt Service'!$BV$201, FALSE)</f>
        <v>0</v>
      </c>
      <c r="AC94" s="15">
        <f>-VLOOKUP(AC$2, 'Debt Service'!$A$206:$BV$242, 'Debt Service'!$BV$201, FALSE)</f>
        <v>0</v>
      </c>
      <c r="AD94" s="15">
        <f>-VLOOKUP(AD$2, 'Debt Service'!$A$206:$BV$242, 'Debt Service'!$BV$201, FALSE)</f>
        <v>0</v>
      </c>
      <c r="AE94" s="15">
        <f>-VLOOKUP(AE$2, 'Debt Service'!$A$206:$BV$242, 'Debt Service'!$BV$201, FALSE)</f>
        <v>0</v>
      </c>
      <c r="AF94" s="15">
        <f>-VLOOKUP(AF$2, 'Debt Service'!$A$206:$BV$242, 'Debt Service'!$BV$201, FALSE)</f>
        <v>0</v>
      </c>
      <c r="AG94" s="15">
        <f>-VLOOKUP(AG$2, 'Debt Service'!$A$206:$BV$242, 'Debt Service'!$BV$201, FALSE)</f>
        <v>0</v>
      </c>
      <c r="AH94" s="15">
        <f>-VLOOKUP(AH$2, 'Debt Service'!$A$206:$BV$242, 'Debt Service'!$BV$201, FALSE)</f>
        <v>-3428000</v>
      </c>
      <c r="AI94" s="15">
        <f>-VLOOKUP(AI$2, 'Debt Service'!$A$206:$BV$242, 'Debt Service'!$BV$201, FALSE)</f>
        <v>0</v>
      </c>
      <c r="AJ94" s="15">
        <f>-VLOOKUP(AJ$2, 'Debt Service'!$A$206:$CM$242, 'Debt Service'!$BV$201, FALSE)</f>
        <v>0</v>
      </c>
      <c r="AK94" s="15">
        <f>-VLOOKUP(AK$2, 'Debt Service'!$A$206:$CM$242, 'Debt Service'!$BV$201, FALSE)</f>
        <v>0</v>
      </c>
      <c r="AL94" s="15">
        <f>-VLOOKUP(AL$2, 'Debt Service'!$A$206:$CM$242, 'Debt Service'!$BV$201, FALSE)</f>
        <v>0</v>
      </c>
      <c r="AM94" s="15">
        <f>-VLOOKUP(AM$2, 'Debt Service'!$A$206:$CM$242, 'Debt Service'!$BV$201, FALSE)</f>
        <v>0</v>
      </c>
      <c r="AN94" s="93">
        <f>-'Debt Service'!BV67</f>
        <v>-5420000</v>
      </c>
      <c r="AO94" s="29"/>
      <c r="AP94" s="10">
        <f t="shared" si="87"/>
        <v>29</v>
      </c>
      <c r="AQ94" s="73">
        <f t="shared" si="93"/>
        <v>0</v>
      </c>
    </row>
    <row r="95" spans="1:43" s="2" customFormat="1" outlineLevel="1">
      <c r="A95" s="42" t="str">
        <f t="shared" si="92"/>
        <v>2021 A Series</v>
      </c>
      <c r="B95" s="46"/>
      <c r="C95" s="15">
        <f>-VLOOKUP(C$2, 'Debt Service'!$A$206:$BY$242, 'Debt Service'!$BY$201, FALSE)</f>
        <v>0</v>
      </c>
      <c r="D95" s="15">
        <f>-VLOOKUP(D$2, 'Debt Service'!$A$206:$BY$242, 'Debt Service'!$BY$201, FALSE)</f>
        <v>0</v>
      </c>
      <c r="E95" s="15">
        <f>-VLOOKUP(E$2, 'Debt Service'!$A$206:$BY$242, 'Debt Service'!$BY$201, FALSE)</f>
        <v>0</v>
      </c>
      <c r="F95" s="15">
        <f>-VLOOKUP(F$2, 'Debt Service'!$A$206:$BY$242, 'Debt Service'!$BY$201, FALSE)</f>
        <v>0</v>
      </c>
      <c r="G95" s="15">
        <f>-VLOOKUP(G$2, 'Debt Service'!$A$206:$BY$242, 'Debt Service'!$BY$201, FALSE)</f>
        <v>0</v>
      </c>
      <c r="H95" s="15">
        <f>-VLOOKUP(H$2, 'Debt Service'!$A$206:$BY$242, 'Debt Service'!$BY$201, FALSE)</f>
        <v>-1872000</v>
      </c>
      <c r="I95" s="15">
        <f>-VLOOKUP(I$2, 'Debt Service'!$A$206:$BY$242, 'Debt Service'!$BY$201, FALSE)</f>
        <v>0</v>
      </c>
      <c r="J95" s="15">
        <f>-VLOOKUP(J$2, 'Debt Service'!$A$206:$BY$242, 'Debt Service'!$BY$201, FALSE)</f>
        <v>0</v>
      </c>
      <c r="K95" s="15">
        <f>-VLOOKUP(K$2, 'Debt Service'!$A$206:$BY$242, 'Debt Service'!$BY$201, FALSE)</f>
        <v>0</v>
      </c>
      <c r="L95" s="15">
        <f>-VLOOKUP(L$2, 'Debt Service'!$A$206:$BY$242, 'Debt Service'!$BY$201, FALSE)</f>
        <v>0</v>
      </c>
      <c r="M95" s="15">
        <f>-VLOOKUP(M$2, 'Debt Service'!$A$206:$BY$242, 'Debt Service'!$BY$201, FALSE)</f>
        <v>0</v>
      </c>
      <c r="N95" s="15">
        <f>-VLOOKUP(N$2, 'Debt Service'!$A$206:$BY$242, 'Debt Service'!$BY$201, FALSE)</f>
        <v>0</v>
      </c>
      <c r="O95" s="15">
        <f>-VLOOKUP(O$2, 'Debt Service'!$A$206:$BY$242, 'Debt Service'!$BY$201, FALSE)</f>
        <v>0</v>
      </c>
      <c r="P95" s="15">
        <f>-VLOOKUP(P$2, 'Debt Service'!$A$206:$BY$242, 'Debt Service'!$BY$201, FALSE)</f>
        <v>0</v>
      </c>
      <c r="Q95" s="15">
        <f>-VLOOKUP(Q$2, 'Debt Service'!$A$206:$BY$242, 'Debt Service'!$BY$201, FALSE)</f>
        <v>0</v>
      </c>
      <c r="R95" s="15">
        <f>-VLOOKUP(R$2, 'Debt Service'!$A$206:$BY$242, 'Debt Service'!$BY$201, FALSE)</f>
        <v>0</v>
      </c>
      <c r="S95" s="15">
        <f>-VLOOKUP(S$2, 'Debt Service'!$A$206:$BY$242, 'Debt Service'!$BY$201, FALSE)</f>
        <v>0</v>
      </c>
      <c r="T95" s="15">
        <f>-VLOOKUP(T$2, 'Debt Service'!$A$206:$BY$242, 'Debt Service'!$BY$201, FALSE)</f>
        <v>0</v>
      </c>
      <c r="U95" s="15">
        <f>-VLOOKUP(U$2, 'Debt Service'!$A$206:$BY$242, 'Debt Service'!$BY$201, FALSE)</f>
        <v>0</v>
      </c>
      <c r="V95" s="15">
        <f>-VLOOKUP(V$2, 'Debt Service'!$A$206:$BY$242, 'Debt Service'!$BY$201, FALSE)</f>
        <v>0</v>
      </c>
      <c r="W95" s="15">
        <f>-VLOOKUP(W$2, 'Debt Service'!$A$206:$BY$242, 'Debt Service'!$BY$201, FALSE)</f>
        <v>0</v>
      </c>
      <c r="X95" s="15">
        <f>-VLOOKUP(X$2, 'Debt Service'!$A$206:$BY$242, 'Debt Service'!$BY$201, FALSE)</f>
        <v>0</v>
      </c>
      <c r="Y95" s="15">
        <f>-VLOOKUP(Y$2, 'Debt Service'!$A$206:$BY$242, 'Debt Service'!$BY$201, FALSE)</f>
        <v>0</v>
      </c>
      <c r="Z95" s="15">
        <f>-VLOOKUP(Z$2, 'Debt Service'!$A$206:$BY$242, 'Debt Service'!$BY$201, FALSE)</f>
        <v>0</v>
      </c>
      <c r="AA95" s="15">
        <f>-VLOOKUP(AA$2, 'Debt Service'!$A$206:$BY$242, 'Debt Service'!$BY$201, FALSE)</f>
        <v>0</v>
      </c>
      <c r="AB95" s="15">
        <f>-VLOOKUP(AB$2, 'Debt Service'!$A$206:$BY$242, 'Debt Service'!$BY$201, FALSE)</f>
        <v>0</v>
      </c>
      <c r="AC95" s="15">
        <f>-VLOOKUP(AC$2, 'Debt Service'!$A$206:$BY$242, 'Debt Service'!$BY$201, FALSE)</f>
        <v>0</v>
      </c>
      <c r="AD95" s="15">
        <f>-VLOOKUP(AD$2, 'Debt Service'!$A$206:$BY$242, 'Debt Service'!$BY$201, FALSE)</f>
        <v>0</v>
      </c>
      <c r="AE95" s="15">
        <f>-VLOOKUP(AE$2, 'Debt Service'!$A$206:$BY$242, 'Debt Service'!$BY$201, FALSE)</f>
        <v>0</v>
      </c>
      <c r="AF95" s="15">
        <f>-VLOOKUP(AF$2, 'Debt Service'!$A$206:$BY$242, 'Debt Service'!$BY$201, FALSE)</f>
        <v>0</v>
      </c>
      <c r="AG95" s="15">
        <f>-VLOOKUP(AG$2, 'Debt Service'!$A$206:$BY$242, 'Debt Service'!$BY$201, FALSE)</f>
        <v>0</v>
      </c>
      <c r="AH95" s="15">
        <f>-VLOOKUP(AH$2, 'Debt Service'!$A$206:$BY$242, 'Debt Service'!$BY$201, FALSE)</f>
        <v>0</v>
      </c>
      <c r="AI95" s="15">
        <f>-VLOOKUP(AI$2, 'Debt Service'!$A$206:$BY$242, 'Debt Service'!$BY$201, FALSE)</f>
        <v>0</v>
      </c>
      <c r="AJ95" s="15">
        <f>-VLOOKUP(AJ$2, 'Debt Service'!$A$206:$BY$242, 'Debt Service'!$BY$201, FALSE)</f>
        <v>0</v>
      </c>
      <c r="AK95" s="15">
        <f>-VLOOKUP(AK$2, 'Debt Service'!$A$206:$BY$242, 'Debt Service'!$BY$201, FALSE)</f>
        <v>0</v>
      </c>
      <c r="AL95" s="15">
        <f>-VLOOKUP(AL$2, 'Debt Service'!$A$206:$BY$242, 'Debt Service'!$BY$201, FALSE)</f>
        <v>0</v>
      </c>
      <c r="AM95" s="15">
        <f>-VLOOKUP(AM$2, 'Debt Service'!$A$206:$BY$242, 'Debt Service'!$BY$201, FALSE)</f>
        <v>0</v>
      </c>
      <c r="AN95" s="93">
        <f>-'Debt Service'!BY67</f>
        <v>-1872000</v>
      </c>
      <c r="AO95" s="29"/>
      <c r="AP95" s="10">
        <f t="shared" si="87"/>
        <v>30</v>
      </c>
      <c r="AQ95" s="73">
        <f t="shared" si="93"/>
        <v>0</v>
      </c>
    </row>
    <row r="96" spans="1:43" s="2" customFormat="1" outlineLevel="1">
      <c r="A96" s="42" t="str">
        <f t="shared" si="92"/>
        <v>2022 A Series</v>
      </c>
      <c r="B96" s="46"/>
      <c r="C96" s="15">
        <f>-VLOOKUP(C$2, 'Debt Service'!$A$206:$CC$242, 'Debt Service'!$CC$201, FALSE)</f>
        <v>0</v>
      </c>
      <c r="D96" s="15">
        <f>-VLOOKUP(D$2, 'Debt Service'!$A$206:$CC$242, 'Debt Service'!$CC$201, FALSE)</f>
        <v>0</v>
      </c>
      <c r="E96" s="15">
        <f>-VLOOKUP(E$2, 'Debt Service'!$A$206:$CC$242, 'Debt Service'!$CC$201, FALSE)</f>
        <v>0</v>
      </c>
      <c r="F96" s="15">
        <f>-VLOOKUP(F$2, 'Debt Service'!$A$206:$CC$242, 'Debt Service'!$CC$201, FALSE)</f>
        <v>0</v>
      </c>
      <c r="G96" s="15">
        <f>-VLOOKUP(G$2, 'Debt Service'!$A$206:$CC$242, 'Debt Service'!$CC$201, FALSE)</f>
        <v>0</v>
      </c>
      <c r="H96" s="15">
        <f>-VLOOKUP(H$2, 'Debt Service'!$A$206:$CC$242, 'Debt Service'!$CC$201, FALSE)</f>
        <v>0</v>
      </c>
      <c r="I96" s="15">
        <f>-VLOOKUP(I$2, 'Debt Service'!$A$206:$CC$242, 'Debt Service'!$CC$201, FALSE)</f>
        <v>-310000</v>
      </c>
      <c r="J96" s="15">
        <f>-VLOOKUP(J$2, 'Debt Service'!$A$206:$CC$242, 'Debt Service'!$CC$201, FALSE)</f>
        <v>0</v>
      </c>
      <c r="K96" s="15">
        <f>-VLOOKUP(K$2, 'Debt Service'!$A$206:$CC$242, 'Debt Service'!$CC$201, FALSE)</f>
        <v>0</v>
      </c>
      <c r="L96" s="15">
        <f>-VLOOKUP(L$2, 'Debt Service'!$A$206:$CC$242, 'Debt Service'!$CC$201, FALSE)</f>
        <v>0</v>
      </c>
      <c r="M96" s="15">
        <f>-VLOOKUP(M$2, 'Debt Service'!$A$206:$CC$242, 'Debt Service'!$CC$201, FALSE)</f>
        <v>0</v>
      </c>
      <c r="N96" s="15">
        <f>-VLOOKUP(N$2, 'Debt Service'!$A$206:$CC$242, 'Debt Service'!$CC$201, FALSE)</f>
        <v>0</v>
      </c>
      <c r="O96" s="15">
        <f>-VLOOKUP(O$2, 'Debt Service'!$A$206:$CC$242, 'Debt Service'!$CC$201, FALSE)</f>
        <v>0</v>
      </c>
      <c r="P96" s="15">
        <f>-VLOOKUP(P$2, 'Debt Service'!$A$206:$CC$242, 'Debt Service'!$CC$201, FALSE)</f>
        <v>0</v>
      </c>
      <c r="Q96" s="15">
        <f>-VLOOKUP(Q$2, 'Debt Service'!$A$206:$CC$242, 'Debt Service'!$CC$201, FALSE)</f>
        <v>0</v>
      </c>
      <c r="R96" s="15">
        <f>-VLOOKUP(R$2, 'Debt Service'!$A$206:$CC$242, 'Debt Service'!$CC$201, FALSE)</f>
        <v>0</v>
      </c>
      <c r="S96" s="15">
        <f>-VLOOKUP(S$2, 'Debt Service'!$A$206:$CC$242, 'Debt Service'!$CC$201, FALSE)</f>
        <v>0</v>
      </c>
      <c r="T96" s="15">
        <f>-VLOOKUP(T$2, 'Debt Service'!$A$206:$CC$242, 'Debt Service'!$CC$201, FALSE)</f>
        <v>0</v>
      </c>
      <c r="U96" s="15">
        <f>-VLOOKUP(U$2, 'Debt Service'!$A$206:$CC$242, 'Debt Service'!$CC$201, FALSE)</f>
        <v>0</v>
      </c>
      <c r="V96" s="15">
        <f>-VLOOKUP(V$2, 'Debt Service'!$A$206:$CC$242, 'Debt Service'!$CC$201, FALSE)</f>
        <v>0</v>
      </c>
      <c r="W96" s="15">
        <f>-VLOOKUP(W$2, 'Debt Service'!$A$206:$CC$242, 'Debt Service'!$CC$201, FALSE)</f>
        <v>0</v>
      </c>
      <c r="X96" s="15">
        <f>-VLOOKUP(X$2, 'Debt Service'!$A$206:$CC$242, 'Debt Service'!$CC$201, FALSE)</f>
        <v>0</v>
      </c>
      <c r="Y96" s="15">
        <f>-VLOOKUP(Y$2, 'Debt Service'!$A$206:$CC$242, 'Debt Service'!$CC$201, FALSE)</f>
        <v>0</v>
      </c>
      <c r="Z96" s="15">
        <f>-VLOOKUP(Z$2, 'Debt Service'!$A$206:$CC$242, 'Debt Service'!$CC$201, FALSE)</f>
        <v>0</v>
      </c>
      <c r="AA96" s="15">
        <f>-VLOOKUP(AA$2, 'Debt Service'!$A$206:$CC$242, 'Debt Service'!$CC$201, FALSE)</f>
        <v>0</v>
      </c>
      <c r="AB96" s="15">
        <f>-VLOOKUP(AB$2, 'Debt Service'!$A$206:$CC$242, 'Debt Service'!$CC$201, FALSE)</f>
        <v>0</v>
      </c>
      <c r="AC96" s="15">
        <f>-VLOOKUP(AC$2, 'Debt Service'!$A$206:$CC$242, 'Debt Service'!$CC$201, FALSE)</f>
        <v>0</v>
      </c>
      <c r="AD96" s="15">
        <f>-VLOOKUP(AD$2, 'Debt Service'!$A$206:$CC$242, 'Debt Service'!$CC$201, FALSE)</f>
        <v>0</v>
      </c>
      <c r="AE96" s="15">
        <f>-VLOOKUP(AE$2, 'Debt Service'!$A$206:$CC$242, 'Debt Service'!$CC$201, FALSE)</f>
        <v>0</v>
      </c>
      <c r="AF96" s="15">
        <f>-VLOOKUP(AF$2, 'Debt Service'!$A$206:$CC$242, 'Debt Service'!$CC$201, FALSE)</f>
        <v>0</v>
      </c>
      <c r="AG96" s="15">
        <f>-VLOOKUP(AG$2, 'Debt Service'!$A$206:$CC$242, 'Debt Service'!$CC$201, FALSE)</f>
        <v>0</v>
      </c>
      <c r="AH96" s="15">
        <f>-VLOOKUP(AH$2, 'Debt Service'!$A$206:$CC$242, 'Debt Service'!$CC$201, FALSE)</f>
        <v>0</v>
      </c>
      <c r="AI96" s="15">
        <f>-VLOOKUP(AI$2, 'Debt Service'!$A$206:$CC$242, 'Debt Service'!$CC$201, FALSE)</f>
        <v>0</v>
      </c>
      <c r="AJ96" s="15">
        <f>-VLOOKUP(AJ$2, 'Debt Service'!$A$206:$CC$242, 'Debt Service'!$CC$201, FALSE)</f>
        <v>0</v>
      </c>
      <c r="AK96" s="15">
        <f>-VLOOKUP(AK$2, 'Debt Service'!$A$206:$CC$242, 'Debt Service'!$CC$201, FALSE)</f>
        <v>0</v>
      </c>
      <c r="AL96" s="15">
        <f>-VLOOKUP(AL$2, 'Debt Service'!$A$206:$CC$242, 'Debt Service'!$CC$201, FALSE)</f>
        <v>0</v>
      </c>
      <c r="AM96" s="15">
        <f>-VLOOKUP(AM$2, 'Debt Service'!$A$206:$CC$242, 'Debt Service'!$CC$201, FALSE)</f>
        <v>0</v>
      </c>
      <c r="AN96" s="93">
        <f>-'Debt Service'!CC67</f>
        <v>-310000</v>
      </c>
      <c r="AO96" s="29"/>
      <c r="AP96" s="10">
        <f t="shared" si="87"/>
        <v>31</v>
      </c>
      <c r="AQ96" s="73">
        <f t="shared" si="93"/>
        <v>0</v>
      </c>
    </row>
    <row r="97" spans="1:43" s="2" customFormat="1" outlineLevel="1">
      <c r="A97" s="42" t="str">
        <f t="shared" si="92"/>
        <v>2022 B Series</v>
      </c>
      <c r="B97" s="46"/>
      <c r="C97" s="15">
        <f>-VLOOKUP(C$2, 'Debt Service'!$A$206:$CG$242, 'Debt Service'!$CG$201, FALSE)</f>
        <v>0</v>
      </c>
      <c r="D97" s="15">
        <f>-VLOOKUP(D$2, 'Debt Service'!$A$206:$CG$242, 'Debt Service'!$CG$201, FALSE)</f>
        <v>0</v>
      </c>
      <c r="E97" s="15">
        <f>-VLOOKUP(E$2, 'Debt Service'!$A$206:$CG$242, 'Debt Service'!$CG$201, FALSE)</f>
        <v>0</v>
      </c>
      <c r="F97" s="15">
        <f>-VLOOKUP(F$2, 'Debt Service'!$A$206:$CG$242, 'Debt Service'!$CG$201, FALSE)</f>
        <v>0</v>
      </c>
      <c r="G97" s="15">
        <f>-VLOOKUP(G$2, 'Debt Service'!$A$206:$CG$242, 'Debt Service'!$CG$201, FALSE)</f>
        <v>0</v>
      </c>
      <c r="H97" s="15">
        <f>-VLOOKUP(H$2, 'Debt Service'!$A$206:$CG$242, 'Debt Service'!$CG$201, FALSE)</f>
        <v>0</v>
      </c>
      <c r="I97" s="15">
        <f>-VLOOKUP(I$2, 'Debt Service'!$A$206:$CG$242, 'Debt Service'!$CG$201, FALSE)</f>
        <v>0</v>
      </c>
      <c r="J97" s="15">
        <f>-VLOOKUP(J$2, 'Debt Service'!$A$206:$CG$242, 'Debt Service'!$CG$201, FALSE)</f>
        <v>0</v>
      </c>
      <c r="K97" s="15">
        <f>-VLOOKUP(K$2, 'Debt Service'!$A$206:$CG$242, 'Debt Service'!$CG$201, FALSE)</f>
        <v>0</v>
      </c>
      <c r="L97" s="15">
        <f>-VLOOKUP(L$2, 'Debt Service'!$A$206:$CG$242, 'Debt Service'!$CG$201, FALSE)</f>
        <v>0</v>
      </c>
      <c r="M97" s="15">
        <f>-VLOOKUP(M$2, 'Debt Service'!$A$206:$CG$242, 'Debt Service'!$CG$201, FALSE)</f>
        <v>0</v>
      </c>
      <c r="N97" s="15">
        <f>-VLOOKUP(N$2, 'Debt Service'!$A$206:$CG$242, 'Debt Service'!$CG$201, FALSE)</f>
        <v>0</v>
      </c>
      <c r="O97" s="15">
        <f>-VLOOKUP(O$2, 'Debt Service'!$A$206:$CG$242, 'Debt Service'!$CG$201, FALSE)</f>
        <v>0</v>
      </c>
      <c r="P97" s="15">
        <f>-VLOOKUP(P$2, 'Debt Service'!$A$206:$CG$242, 'Debt Service'!$CG$201, FALSE)</f>
        <v>0</v>
      </c>
      <c r="Q97" s="15">
        <f>-VLOOKUP(Q$2, 'Debt Service'!$A$206:$CG$242, 'Debt Service'!$CG$201, FALSE)</f>
        <v>0</v>
      </c>
      <c r="R97" s="15">
        <f>-VLOOKUP(R$2, 'Debt Service'!$A$206:$CG$242, 'Debt Service'!$CG$201, FALSE)</f>
        <v>0</v>
      </c>
      <c r="S97" s="15">
        <f>-VLOOKUP(S$2, 'Debt Service'!$A$206:$CG$242, 'Debt Service'!$CG$201, FALSE)</f>
        <v>0</v>
      </c>
      <c r="T97" s="15">
        <f>-VLOOKUP(T$2, 'Debt Service'!$A$206:$CG$242, 'Debt Service'!$CG$201, FALSE)</f>
        <v>0</v>
      </c>
      <c r="U97" s="15">
        <f>-VLOOKUP(U$2, 'Debt Service'!$A$206:$CG$242, 'Debt Service'!$CG$201, FALSE)</f>
        <v>0</v>
      </c>
      <c r="V97" s="15">
        <f>-VLOOKUP(V$2, 'Debt Service'!$A$206:$CG$242, 'Debt Service'!$CG$201, FALSE)</f>
        <v>0</v>
      </c>
      <c r="W97" s="15">
        <f>-VLOOKUP(W$2, 'Debt Service'!$A$206:$CG$242, 'Debt Service'!$CG$201, FALSE)</f>
        <v>0</v>
      </c>
      <c r="X97" s="15">
        <f>-VLOOKUP(X$2, 'Debt Service'!$A$206:$CG$242, 'Debt Service'!$CG$201, FALSE)</f>
        <v>0</v>
      </c>
      <c r="Y97" s="15">
        <f>-VLOOKUP(Y$2, 'Debt Service'!$A$206:$CG$242, 'Debt Service'!$CG$201, FALSE)</f>
        <v>0</v>
      </c>
      <c r="Z97" s="15">
        <f>-VLOOKUP(Z$2, 'Debt Service'!$A$206:$CG$242, 'Debt Service'!$CG$201, FALSE)</f>
        <v>0</v>
      </c>
      <c r="AA97" s="15">
        <f>-VLOOKUP(AA$2, 'Debt Service'!$A$206:$CG$242, 'Debt Service'!$CG$201, FALSE)</f>
        <v>0</v>
      </c>
      <c r="AB97" s="15">
        <f>-VLOOKUP(AB$2, 'Debt Service'!$A$206:$CG$242, 'Debt Service'!$CG$201, FALSE)</f>
        <v>0</v>
      </c>
      <c r="AC97" s="15">
        <f>-VLOOKUP(AC$2, 'Debt Service'!$A$206:$CG$242, 'Debt Service'!$CG$201, FALSE)</f>
        <v>0</v>
      </c>
      <c r="AD97" s="15">
        <f>-VLOOKUP(AD$2, 'Debt Service'!$A$206:$CG$242, 'Debt Service'!$CG$201, FALSE)</f>
        <v>0</v>
      </c>
      <c r="AE97" s="15">
        <f>-VLOOKUP(AE$2, 'Debt Service'!$A$206:$CG$242, 'Debt Service'!$CG$201, FALSE)</f>
        <v>0</v>
      </c>
      <c r="AF97" s="15">
        <f>-VLOOKUP(AF$2, 'Debt Service'!$A$206:$CG$242, 'Debt Service'!$CG$201, FALSE)</f>
        <v>0</v>
      </c>
      <c r="AG97" s="15">
        <f>-VLOOKUP(AG$2, 'Debt Service'!$A$206:$CG$242, 'Debt Service'!$CG$201, FALSE)</f>
        <v>0</v>
      </c>
      <c r="AH97" s="15">
        <f>-VLOOKUP(AH$2, 'Debt Service'!$A$206:$CG$242, 'Debt Service'!$CG$201, FALSE)</f>
        <v>0</v>
      </c>
      <c r="AI97" s="15">
        <f>-VLOOKUP(AI$2, 'Debt Service'!$A$206:$CG$242, 'Debt Service'!$CG$201, FALSE)</f>
        <v>0</v>
      </c>
      <c r="AJ97" s="15">
        <f>-VLOOKUP(AJ$2, 'Debt Service'!$A$206:$CG$242, 'Debt Service'!$CG$201, FALSE)</f>
        <v>-3177000</v>
      </c>
      <c r="AK97" s="15">
        <f>-VLOOKUP(AK$2, 'Debt Service'!$A$206:$CG$242, 'Debt Service'!$CG$201, FALSE)</f>
        <v>0</v>
      </c>
      <c r="AL97" s="15">
        <f>-VLOOKUP(AL$2, 'Debt Service'!$A$206:$CG$242, 'Debt Service'!$CG$201, FALSE)</f>
        <v>0</v>
      </c>
      <c r="AM97" s="15">
        <f>-VLOOKUP(AM$2, 'Debt Service'!$A$206:$CG$242, 'Debt Service'!$CG$201, FALSE)</f>
        <v>0</v>
      </c>
      <c r="AN97" s="93">
        <f>-'Debt Service'!CG67</f>
        <v>-3177000</v>
      </c>
      <c r="AO97" s="29"/>
      <c r="AP97" s="10">
        <f t="shared" si="87"/>
        <v>32</v>
      </c>
      <c r="AQ97" s="73">
        <f t="shared" si="93"/>
        <v>0</v>
      </c>
    </row>
    <row r="98" spans="1:43" s="2" customFormat="1" outlineLevel="1">
      <c r="A98" s="42" t="str">
        <f t="shared" si="92"/>
        <v>2022 C Series</v>
      </c>
      <c r="B98" s="46"/>
      <c r="C98" s="15">
        <f>-VLOOKUP(C$2, 'Debt Service'!$A$206:$CK$242, 'Debt Service'!$CK$201, FALSE)</f>
        <v>0</v>
      </c>
      <c r="D98" s="15">
        <f>-VLOOKUP(D$2, 'Debt Service'!$A$206:$CK$242, 'Debt Service'!$CK$201, FALSE)</f>
        <v>0</v>
      </c>
      <c r="E98" s="15">
        <f>-VLOOKUP(E$2, 'Debt Service'!$A$206:$CK$242, 'Debt Service'!$CK$201, FALSE)</f>
        <v>0</v>
      </c>
      <c r="F98" s="15">
        <f>-VLOOKUP(F$2, 'Debt Service'!$A$206:$CK$242, 'Debt Service'!$CK$201, FALSE)</f>
        <v>0</v>
      </c>
      <c r="G98" s="15">
        <f>-VLOOKUP(G$2, 'Debt Service'!$A$206:$CK$242, 'Debt Service'!$CK$201, FALSE)</f>
        <v>0</v>
      </c>
      <c r="H98" s="15">
        <f>-VLOOKUP(H$2, 'Debt Service'!$A$206:$CK$242, 'Debt Service'!$CK$201, FALSE)</f>
        <v>0</v>
      </c>
      <c r="I98" s="15">
        <f>-VLOOKUP(I$2, 'Debt Service'!$A$206:$CK$242, 'Debt Service'!$CK$201, FALSE)</f>
        <v>0</v>
      </c>
      <c r="J98" s="15">
        <f>-VLOOKUP(J$2, 'Debt Service'!$A$206:$CK$242, 'Debt Service'!$CK$201, FALSE)</f>
        <v>0</v>
      </c>
      <c r="K98" s="15">
        <f>-VLOOKUP(K$2, 'Debt Service'!$A$206:$CK$242, 'Debt Service'!$CK$201, FALSE)</f>
        <v>0</v>
      </c>
      <c r="L98" s="15">
        <f>-VLOOKUP(L$2, 'Debt Service'!$A$206:$CK$242, 'Debt Service'!$CK$201, FALSE)</f>
        <v>0</v>
      </c>
      <c r="M98" s="15">
        <f>-VLOOKUP(M$2, 'Debt Service'!$A$206:$CK$242, 'Debt Service'!$CK$201, FALSE)</f>
        <v>0</v>
      </c>
      <c r="N98" s="15">
        <f>-VLOOKUP(N$2, 'Debt Service'!$A$206:$CK$242, 'Debt Service'!$CK$201, FALSE)</f>
        <v>0</v>
      </c>
      <c r="O98" s="15">
        <f>-VLOOKUP(O$2, 'Debt Service'!$A$206:$CK$242, 'Debt Service'!$CK$201, FALSE)</f>
        <v>0</v>
      </c>
      <c r="P98" s="15">
        <f>-VLOOKUP(P$2, 'Debt Service'!$A$206:$CK$242, 'Debt Service'!$CK$201, FALSE)</f>
        <v>0</v>
      </c>
      <c r="Q98" s="15">
        <f>-VLOOKUP(Q$2, 'Debt Service'!$A$206:$CK$242, 'Debt Service'!$CK$201, FALSE)</f>
        <v>0</v>
      </c>
      <c r="R98" s="15">
        <f>-VLOOKUP(R$2, 'Debt Service'!$A$206:$CK$242, 'Debt Service'!$CK$201, FALSE)</f>
        <v>0</v>
      </c>
      <c r="S98" s="15">
        <f>-VLOOKUP(S$2, 'Debt Service'!$A$206:$CK$242, 'Debt Service'!$CK$201, FALSE)</f>
        <v>0</v>
      </c>
      <c r="T98" s="15">
        <f>-VLOOKUP(T$2, 'Debt Service'!$A$206:$CK$242, 'Debt Service'!$CK$201, FALSE)</f>
        <v>0</v>
      </c>
      <c r="U98" s="15">
        <f>-VLOOKUP(U$2, 'Debt Service'!$A$206:$CK$242, 'Debt Service'!$CK$201, FALSE)</f>
        <v>0</v>
      </c>
      <c r="V98" s="15">
        <f>-VLOOKUP(V$2, 'Debt Service'!$A$206:$CK$242, 'Debt Service'!$CK$201, FALSE)</f>
        <v>0</v>
      </c>
      <c r="W98" s="15">
        <f>-VLOOKUP(W$2, 'Debt Service'!$A$206:$CK$242, 'Debt Service'!$CK$201, FALSE)</f>
        <v>0</v>
      </c>
      <c r="X98" s="15">
        <f>-VLOOKUP(X$2, 'Debt Service'!$A$206:$CK$242, 'Debt Service'!$CK$201, FALSE)</f>
        <v>0</v>
      </c>
      <c r="Y98" s="15">
        <f>-VLOOKUP(Y$2, 'Debt Service'!$A$206:$CK$242, 'Debt Service'!$CK$201, FALSE)</f>
        <v>0</v>
      </c>
      <c r="Z98" s="15">
        <f>-VLOOKUP(Z$2, 'Debt Service'!$A$206:$CK$242, 'Debt Service'!$CK$201, FALSE)</f>
        <v>0</v>
      </c>
      <c r="AA98" s="15">
        <f>-VLOOKUP(AA$2, 'Debt Service'!$A$206:$CK$242, 'Debt Service'!$CK$201, FALSE)</f>
        <v>0</v>
      </c>
      <c r="AB98" s="15">
        <f>-VLOOKUP(AB$2, 'Debt Service'!$A$206:$CK$242, 'Debt Service'!$CK$201, FALSE)</f>
        <v>0</v>
      </c>
      <c r="AC98" s="15">
        <f>-VLOOKUP(AC$2, 'Debt Service'!$A$206:$CK$242, 'Debt Service'!$CK$201, FALSE)</f>
        <v>0</v>
      </c>
      <c r="AD98" s="15">
        <f>-VLOOKUP(AD$2, 'Debt Service'!$A$206:$CK$242, 'Debt Service'!$CK$201, FALSE)</f>
        <v>0</v>
      </c>
      <c r="AE98" s="15">
        <f>-VLOOKUP(AE$2, 'Debt Service'!$A$206:$CK$242, 'Debt Service'!$CK$201, FALSE)</f>
        <v>0</v>
      </c>
      <c r="AF98" s="15">
        <f>-VLOOKUP(AF$2, 'Debt Service'!$A$206:$CK$242, 'Debt Service'!$CK$201, FALSE)</f>
        <v>0</v>
      </c>
      <c r="AG98" s="15">
        <f>-VLOOKUP(AG$2, 'Debt Service'!$A$206:$CK$242, 'Debt Service'!$CK$201, FALSE)</f>
        <v>0</v>
      </c>
      <c r="AH98" s="15">
        <f>-VLOOKUP(AH$2, 'Debt Service'!$A$206:$CK$242, 'Debt Service'!$CK$201, FALSE)</f>
        <v>0</v>
      </c>
      <c r="AI98" s="15">
        <f>-VLOOKUP(AI$2, 'Debt Service'!$A$206:$CK$242, 'Debt Service'!$CK$201, FALSE)</f>
        <v>0</v>
      </c>
      <c r="AJ98" s="15">
        <f>-VLOOKUP(AJ$2, 'Debt Service'!$A$206:$CK$242, 'Debt Service'!$CK$201, FALSE)</f>
        <v>-3247000</v>
      </c>
      <c r="AK98" s="15">
        <f>-VLOOKUP(AK$2, 'Debt Service'!$A$206:$CK$242, 'Debt Service'!$CK$201, FALSE)</f>
        <v>0</v>
      </c>
      <c r="AL98" s="15">
        <f>-VLOOKUP(AL$2, 'Debt Service'!$A$206:$CK$242, 'Debt Service'!$CK$201, FALSE)</f>
        <v>0</v>
      </c>
      <c r="AM98" s="15">
        <f>-VLOOKUP(AM$2, 'Debt Service'!$A$206:$CK$242, 'Debt Service'!$CK$201, FALSE)</f>
        <v>0</v>
      </c>
      <c r="AN98" s="93">
        <f>-'Debt Service'!CK67</f>
        <v>-3247000</v>
      </c>
      <c r="AO98" s="29"/>
      <c r="AP98" s="10">
        <f t="shared" si="87"/>
        <v>33</v>
      </c>
      <c r="AQ98" s="73">
        <f t="shared" si="93"/>
        <v>0</v>
      </c>
    </row>
    <row r="99" spans="1:43" s="2" customFormat="1" outlineLevel="1">
      <c r="A99" s="132" t="s">
        <v>171</v>
      </c>
      <c r="B99" s="46"/>
      <c r="C99" s="15">
        <f>-VLOOKUP(C$2, 'Debt Service'!$A$206:$CR$242, 'Debt Service'!$CR$201, FALSE)</f>
        <v>0</v>
      </c>
      <c r="D99" s="15">
        <f>-VLOOKUP(D$2, 'Debt Service'!$A$206:$CR$242, 'Debt Service'!$CR$201, FALSE)</f>
        <v>0</v>
      </c>
      <c r="E99" s="15">
        <f>-VLOOKUP(E$2, 'Debt Service'!$A$206:$CR$242, 'Debt Service'!$CR$201, FALSE)</f>
        <v>0</v>
      </c>
      <c r="F99" s="15">
        <f>-VLOOKUP(F$2, 'Debt Service'!$A$206:$CR$242, 'Debt Service'!$CR$201, FALSE)</f>
        <v>0</v>
      </c>
      <c r="G99" s="15">
        <f>-VLOOKUP(G$2, 'Debt Service'!$A$206:$CR$242, 'Debt Service'!$CR$201, FALSE)</f>
        <v>0</v>
      </c>
      <c r="H99" s="15">
        <f>-VLOOKUP(H$2, 'Debt Service'!$A$206:$CR$242, 'Debt Service'!$CR$201, FALSE)</f>
        <v>-1008000</v>
      </c>
      <c r="I99" s="15">
        <f>-VLOOKUP(I$2, 'Debt Service'!$A$206:$CR$242, 'Debt Service'!$CR$201, FALSE)</f>
        <v>0</v>
      </c>
      <c r="J99" s="15">
        <f>-VLOOKUP(J$2, 'Debt Service'!$A$206:$CR$242, 'Debt Service'!$CR$201, FALSE)</f>
        <v>0</v>
      </c>
      <c r="K99" s="15">
        <f>-VLOOKUP(K$2, 'Debt Service'!$A$206:$CR$242, 'Debt Service'!$CR$201, FALSE)</f>
        <v>0</v>
      </c>
      <c r="L99" s="15">
        <f>-VLOOKUP(L$2, 'Debt Service'!$A$206:$CR$242, 'Debt Service'!$CR$201, FALSE)</f>
        <v>0</v>
      </c>
      <c r="M99" s="15">
        <f>-VLOOKUP(M$2, 'Debt Service'!$A$206:$CR$242, 'Debt Service'!$CR$201, FALSE)</f>
        <v>0</v>
      </c>
      <c r="N99" s="15">
        <f>-VLOOKUP(N$2, 'Debt Service'!$A$206:$CR$242, 'Debt Service'!$CR$201, FALSE)</f>
        <v>0</v>
      </c>
      <c r="O99" s="15">
        <f>-VLOOKUP(O$2, 'Debt Service'!$A$206:$CR$242, 'Debt Service'!$CR$201, FALSE)</f>
        <v>0</v>
      </c>
      <c r="P99" s="15">
        <f>-VLOOKUP(P$2, 'Debt Service'!$A$206:$CR$242, 'Debt Service'!$CR$201, FALSE)</f>
        <v>0</v>
      </c>
      <c r="Q99" s="15">
        <f>-VLOOKUP(Q$2, 'Debt Service'!$A$206:$CR$242, 'Debt Service'!$CR$201, FALSE)</f>
        <v>0</v>
      </c>
      <c r="R99" s="15">
        <f>-VLOOKUP(R$2, 'Debt Service'!$A$206:$CR$242, 'Debt Service'!$CR$201, FALSE)</f>
        <v>0</v>
      </c>
      <c r="S99" s="15">
        <f>-VLOOKUP(S$2, 'Debt Service'!$A$206:$CR$242, 'Debt Service'!$CR$201, FALSE)</f>
        <v>0</v>
      </c>
      <c r="T99" s="15">
        <f>-VLOOKUP(T$2, 'Debt Service'!$A$206:$CR$242, 'Debt Service'!$CR$201, FALSE)</f>
        <v>0</v>
      </c>
      <c r="U99" s="15">
        <f>-VLOOKUP(U$2, 'Debt Service'!$A$206:$CR$242, 'Debt Service'!$CR$201, FALSE)</f>
        <v>0</v>
      </c>
      <c r="V99" s="15">
        <f>-VLOOKUP(V$2, 'Debt Service'!$A$206:$CR$242, 'Debt Service'!$CR$201, FALSE)</f>
        <v>0</v>
      </c>
      <c r="W99" s="15">
        <f>-VLOOKUP(W$2, 'Debt Service'!$A$206:$CR$242, 'Debt Service'!$CR$201, FALSE)</f>
        <v>0</v>
      </c>
      <c r="X99" s="15">
        <f>-VLOOKUP(X$2, 'Debt Service'!$A$206:$CR$242, 'Debt Service'!$CR$201, FALSE)</f>
        <v>0</v>
      </c>
      <c r="Y99" s="15">
        <f>-VLOOKUP(Y$2, 'Debt Service'!$A$206:$CR$242, 'Debt Service'!$CR$201, FALSE)</f>
        <v>0</v>
      </c>
      <c r="Z99" s="15">
        <f>-VLOOKUP(Z$2, 'Debt Service'!$A$206:$CR$242, 'Debt Service'!$CR$201, FALSE)</f>
        <v>0</v>
      </c>
      <c r="AA99" s="15">
        <f>-VLOOKUP(AA$2, 'Debt Service'!$A$206:$CR$242, 'Debt Service'!$CR$201, FALSE)</f>
        <v>0</v>
      </c>
      <c r="AB99" s="15">
        <f>-VLOOKUP(AB$2, 'Debt Service'!$A$206:$CR$242, 'Debt Service'!$CR$201, FALSE)</f>
        <v>0</v>
      </c>
      <c r="AC99" s="15">
        <f>-VLOOKUP(AC$2, 'Debt Service'!$A$206:$CR$242, 'Debt Service'!$CR$201, FALSE)</f>
        <v>0</v>
      </c>
      <c r="AD99" s="15">
        <f>-VLOOKUP(AD$2, 'Debt Service'!$A$206:$CR$242, 'Debt Service'!$CR$201, FALSE)</f>
        <v>0</v>
      </c>
      <c r="AE99" s="15">
        <f>-VLOOKUP(AE$2, 'Debt Service'!$A$206:$CR$242, 'Debt Service'!$CR$201, FALSE)</f>
        <v>0</v>
      </c>
      <c r="AF99" s="15">
        <f>-VLOOKUP(AF$2, 'Debt Service'!$A$206:$CR$242, 'Debt Service'!$CR$201, FALSE)</f>
        <v>0</v>
      </c>
      <c r="AG99" s="15">
        <f>-VLOOKUP(AG$2, 'Debt Service'!$A$206:$CR$242, 'Debt Service'!$CR$201, FALSE)</f>
        <v>0</v>
      </c>
      <c r="AH99" s="15">
        <f>-VLOOKUP(AH$2, 'Debt Service'!$A$206:$CR$242, 'Debt Service'!$CR$201, FALSE)</f>
        <v>0</v>
      </c>
      <c r="AI99" s="15">
        <f>-VLOOKUP(AI$2, 'Debt Service'!$A$206:$CR$242, 'Debt Service'!$CR$201, FALSE)</f>
        <v>0</v>
      </c>
      <c r="AJ99" s="15">
        <f>-VLOOKUP(AJ$2, 'Debt Service'!$A$206:$CR$242, 'Debt Service'!$CR$201, FALSE)</f>
        <v>0</v>
      </c>
      <c r="AK99" s="15">
        <f>-VLOOKUP(AK$2, 'Debt Service'!$A$206:$CR$242, 'Debt Service'!$CR$201, FALSE)</f>
        <v>0</v>
      </c>
      <c r="AL99" s="15">
        <f>-VLOOKUP(AL$2, 'Debt Service'!$A$206:$CR$242, 'Debt Service'!$CR$201, FALSE)</f>
        <v>0</v>
      </c>
      <c r="AM99" s="15">
        <f>-VLOOKUP(AM$2, 'Debt Service'!$A$206:$CR$242, 'Debt Service'!$CR$201, FALSE)</f>
        <v>0</v>
      </c>
      <c r="AN99" s="93">
        <f>-'Debt Service'!CR$67</f>
        <v>-1008000</v>
      </c>
      <c r="AO99" s="29"/>
      <c r="AP99" s="10">
        <f t="shared" si="87"/>
        <v>34</v>
      </c>
      <c r="AQ99" s="73">
        <f t="shared" si="93"/>
        <v>0</v>
      </c>
    </row>
    <row r="100" spans="1:43" s="2" customFormat="1" outlineLevel="1">
      <c r="A100" s="132" t="s">
        <v>172</v>
      </c>
      <c r="B100" s="46"/>
      <c r="C100" s="15">
        <f>-VLOOKUP(C$2, 'Debt Service'!$A$206:$CV$242, 'Debt Service'!$CV$201, FALSE)</f>
        <v>0</v>
      </c>
      <c r="D100" s="15">
        <f>-VLOOKUP(D$2, 'Debt Service'!$A$206:$CV$242, 'Debt Service'!$CV$201, FALSE)</f>
        <v>0</v>
      </c>
      <c r="E100" s="15">
        <f>-VLOOKUP(E$2, 'Debt Service'!$A$206:$CV$242, 'Debt Service'!$CV$201, FALSE)</f>
        <v>0</v>
      </c>
      <c r="F100" s="15">
        <f>-VLOOKUP(F$2, 'Debt Service'!$A$206:$CV$242, 'Debt Service'!$CV$201, FALSE)</f>
        <v>0</v>
      </c>
      <c r="G100" s="15">
        <f>-VLOOKUP(G$2, 'Debt Service'!$A$206:$CV$242, 'Debt Service'!$CV$201, FALSE)</f>
        <v>0</v>
      </c>
      <c r="H100" s="15">
        <f>-VLOOKUP(H$2, 'Debt Service'!$A$206:$CV$242, 'Debt Service'!$CV$201, FALSE)</f>
        <v>0</v>
      </c>
      <c r="I100" s="15">
        <f>-VLOOKUP(I$2, 'Debt Service'!$A$206:$CV$242, 'Debt Service'!$CV$201, FALSE)</f>
        <v>0</v>
      </c>
      <c r="J100" s="15">
        <f>-VLOOKUP(J$2, 'Debt Service'!$A$206:$CV$242, 'Debt Service'!$CV$201, FALSE)</f>
        <v>0</v>
      </c>
      <c r="K100" s="15">
        <f>-VLOOKUP(K$2, 'Debt Service'!$A$206:$CV$242, 'Debt Service'!$CV$201, FALSE)</f>
        <v>0</v>
      </c>
      <c r="L100" s="15">
        <f>-VLOOKUP(L$2, 'Debt Service'!$A$206:$CV$242, 'Debt Service'!$CV$201, FALSE)</f>
        <v>0</v>
      </c>
      <c r="M100" s="15">
        <f>-VLOOKUP(M$2, 'Debt Service'!$A$206:$CV$242, 'Debt Service'!$CV$201, FALSE)</f>
        <v>0</v>
      </c>
      <c r="N100" s="15">
        <f>-VLOOKUP(N$2, 'Debt Service'!$A$206:$CV$242, 'Debt Service'!$CV$201, FALSE)</f>
        <v>0</v>
      </c>
      <c r="O100" s="15">
        <f>-VLOOKUP(O$2, 'Debt Service'!$A$206:$CV$242, 'Debt Service'!$CV$201, FALSE)</f>
        <v>0</v>
      </c>
      <c r="P100" s="15">
        <f>-VLOOKUP(P$2, 'Debt Service'!$A$206:$CV$242, 'Debt Service'!$CV$201, FALSE)</f>
        <v>0</v>
      </c>
      <c r="Q100" s="15">
        <f>-VLOOKUP(Q$2, 'Debt Service'!$A$206:$CV$242, 'Debt Service'!$CV$201, FALSE)</f>
        <v>0</v>
      </c>
      <c r="R100" s="15">
        <f>-VLOOKUP(R$2, 'Debt Service'!$A$206:$CV$242, 'Debt Service'!$CV$201, FALSE)</f>
        <v>0</v>
      </c>
      <c r="S100" s="15">
        <f>-VLOOKUP(S$2, 'Debt Service'!$A$206:$CV$242, 'Debt Service'!$CV$201, FALSE)</f>
        <v>0</v>
      </c>
      <c r="T100" s="15">
        <f>-VLOOKUP(T$2, 'Debt Service'!$A$206:$CV$242, 'Debt Service'!$CV$201, FALSE)</f>
        <v>0</v>
      </c>
      <c r="U100" s="15">
        <f>-VLOOKUP(U$2, 'Debt Service'!$A$206:$CV$242, 'Debt Service'!$CV$201, FALSE)</f>
        <v>0</v>
      </c>
      <c r="V100" s="15">
        <f>-VLOOKUP(V$2, 'Debt Service'!$A$206:$CV$242, 'Debt Service'!$CV$201, FALSE)</f>
        <v>0</v>
      </c>
      <c r="W100" s="15">
        <f>-VLOOKUP(W$2, 'Debt Service'!$A$206:$CV$242, 'Debt Service'!$CV$201, FALSE)</f>
        <v>0</v>
      </c>
      <c r="X100" s="15">
        <f>-VLOOKUP(X$2, 'Debt Service'!$A$206:$CV$242, 'Debt Service'!$CV$201, FALSE)</f>
        <v>0</v>
      </c>
      <c r="Y100" s="15">
        <f>-VLOOKUP(Y$2, 'Debt Service'!$A$206:$CV$242, 'Debt Service'!$CV$201, FALSE)</f>
        <v>0</v>
      </c>
      <c r="Z100" s="15">
        <f>-VLOOKUP(Z$2, 'Debt Service'!$A$206:$CV$242, 'Debt Service'!$CV$201, FALSE)</f>
        <v>0</v>
      </c>
      <c r="AA100" s="15">
        <f>-VLOOKUP(AA$2, 'Debt Service'!$A$206:$CV$242, 'Debt Service'!$CV$201, FALSE)</f>
        <v>0</v>
      </c>
      <c r="AB100" s="15">
        <f>-VLOOKUP(AB$2, 'Debt Service'!$A$206:$CV$242, 'Debt Service'!$CV$201, FALSE)</f>
        <v>0</v>
      </c>
      <c r="AC100" s="15">
        <f>-VLOOKUP(AC$2, 'Debt Service'!$A$206:$CV$242, 'Debt Service'!$CV$201, FALSE)</f>
        <v>0</v>
      </c>
      <c r="AD100" s="15">
        <f>-VLOOKUP(AD$2, 'Debt Service'!$A$206:$CV$242, 'Debt Service'!$CV$201, FALSE)</f>
        <v>0</v>
      </c>
      <c r="AE100" s="15">
        <f>-VLOOKUP(AE$2, 'Debt Service'!$A$206:$CV$242, 'Debt Service'!$CV$201, FALSE)</f>
        <v>-3379000</v>
      </c>
      <c r="AF100" s="15">
        <f>-VLOOKUP(AF$2, 'Debt Service'!$A$206:$CV$242, 'Debt Service'!$CV$201, FALSE)</f>
        <v>0</v>
      </c>
      <c r="AG100" s="15">
        <f>-VLOOKUP(AG$2, 'Debt Service'!$A$206:$CV$242, 'Debt Service'!$CV$201, FALSE)</f>
        <v>0</v>
      </c>
      <c r="AH100" s="15">
        <f>-VLOOKUP(AH$2, 'Debt Service'!$A$206:$CV$242, 'Debt Service'!$CV$201, FALSE)</f>
        <v>0</v>
      </c>
      <c r="AI100" s="15">
        <f>-VLOOKUP(AI$2, 'Debt Service'!$A$206:$CV$242, 'Debt Service'!$CV$201, FALSE)</f>
        <v>0</v>
      </c>
      <c r="AJ100" s="15">
        <f>-VLOOKUP(AJ$2, 'Debt Service'!$A$206:$CV$242, 'Debt Service'!$CV$201, FALSE)</f>
        <v>0</v>
      </c>
      <c r="AK100" s="15">
        <f>-VLOOKUP(AK$2, 'Debt Service'!$A$206:$CV$242, 'Debt Service'!$CV$201, FALSE)</f>
        <v>0</v>
      </c>
      <c r="AL100" s="15">
        <f>-VLOOKUP(AL$2, 'Debt Service'!$A$206:$CV$242, 'Debt Service'!$CV$201, FALSE)</f>
        <v>0</v>
      </c>
      <c r="AM100" s="15">
        <f>-VLOOKUP(AM$2, 'Debt Service'!$A$206:$CV$242, 'Debt Service'!$CV$201, FALSE)</f>
        <v>0</v>
      </c>
      <c r="AN100" s="93">
        <f>-'Debt Service'!CV$67</f>
        <v>-3379000</v>
      </c>
      <c r="AO100" s="29"/>
      <c r="AP100" s="10">
        <f t="shared" si="87"/>
        <v>35</v>
      </c>
      <c r="AQ100" s="73">
        <f t="shared" si="93"/>
        <v>0</v>
      </c>
    </row>
    <row r="101" spans="1:43" s="2" customFormat="1" outlineLevel="1">
      <c r="A101" s="132" t="str">
        <f>'Debt Service'!DC$52</f>
        <v>2023 Series</v>
      </c>
      <c r="B101" s="46"/>
      <c r="C101" s="15">
        <f>-VLOOKUP(C$2, 'Debt Service'!$A$206:$CV$242, 'Debt Service'!$CV$201, FALSE)</f>
        <v>0</v>
      </c>
      <c r="D101" s="15">
        <f>-VLOOKUP(D$2, 'Debt Service'!$A$206:$DC$242, 'Debt Service'!$DC$201, FALSE)</f>
        <v>0</v>
      </c>
      <c r="E101" s="15">
        <f>-VLOOKUP(E$2, 'Debt Service'!$A$206:$DC$242, 'Debt Service'!$DC$201, FALSE)</f>
        <v>0</v>
      </c>
      <c r="F101" s="15">
        <f>-VLOOKUP(F$2, 'Debt Service'!$A$206:$DC$242, 'Debt Service'!$DC$201, FALSE)</f>
        <v>0</v>
      </c>
      <c r="G101" s="15">
        <f>-VLOOKUP(G$2, 'Debt Service'!$A$206:$DC$242, 'Debt Service'!$DC$201, FALSE)</f>
        <v>0</v>
      </c>
      <c r="H101" s="15">
        <f>-VLOOKUP(H$2, 'Debt Service'!$A$206:$DC$242, 'Debt Service'!$DC$201, FALSE)</f>
        <v>0</v>
      </c>
      <c r="I101" s="15">
        <f>-VLOOKUP(I$2, 'Debt Service'!$A$206:$DC$242, 'Debt Service'!$DC$201, FALSE)</f>
        <v>0</v>
      </c>
      <c r="J101" s="15">
        <f>-VLOOKUP(J$2, 'Debt Service'!$A$206:$DC$242, 'Debt Service'!$DC$201, FALSE)</f>
        <v>0</v>
      </c>
      <c r="K101" s="15">
        <f>-VLOOKUP(K$2, 'Debt Service'!$A$206:$DC$242, 'Debt Service'!$DC$201, FALSE)</f>
        <v>0</v>
      </c>
      <c r="L101" s="15">
        <f>-VLOOKUP(L$2, 'Debt Service'!$A$206:$DC$242, 'Debt Service'!$DC$201, FALSE)</f>
        <v>-2646245.4796851734</v>
      </c>
      <c r="M101" s="15">
        <f>-VLOOKUP(M$2, 'Debt Service'!$A$206:$DC$242, 'Debt Service'!$DC$201, FALSE)</f>
        <v>-2171509.0406296533</v>
      </c>
      <c r="N101" s="15">
        <f>-VLOOKUP(N$2, 'Debt Service'!$A$206:$DC$242, 'Debt Service'!$DC$201, FALSE)</f>
        <v>-2646245.4796851734</v>
      </c>
      <c r="O101" s="15">
        <f>-VLOOKUP(O$2, 'Debt Service'!$A$206:$DC$242, 'Debt Service'!$DC$201, FALSE)</f>
        <v>0</v>
      </c>
      <c r="P101" s="15">
        <f>-VLOOKUP(P$2, 'Debt Service'!$A$206:$DC$242, 'Debt Service'!$DC$201, FALSE)</f>
        <v>0</v>
      </c>
      <c r="Q101" s="15">
        <f>-VLOOKUP(Q$2, 'Debt Service'!$A$206:$DC$242, 'Debt Service'!$DC$201, FALSE)</f>
        <v>0</v>
      </c>
      <c r="R101" s="15">
        <f>-VLOOKUP(R$2, 'Debt Service'!$A$206:$DC$242, 'Debt Service'!$DC$201, FALSE)</f>
        <v>0</v>
      </c>
      <c r="S101" s="15">
        <f>-VLOOKUP(S$2, 'Debt Service'!$A$206:$DC$242, 'Debt Service'!$DC$201, FALSE)</f>
        <v>0</v>
      </c>
      <c r="T101" s="15">
        <f>-VLOOKUP(T$2, 'Debt Service'!$A$206:$DC$242, 'Debt Service'!$DC$201, FALSE)</f>
        <v>0</v>
      </c>
      <c r="U101" s="15">
        <f>-VLOOKUP(U$2, 'Debt Service'!$A$206:$DC$242, 'Debt Service'!$DC$201, FALSE)</f>
        <v>0</v>
      </c>
      <c r="V101" s="15">
        <f>-VLOOKUP(V$2, 'Debt Service'!$A$206:$DC$242, 'Debt Service'!$DC$201, FALSE)</f>
        <v>0</v>
      </c>
      <c r="W101" s="15">
        <f>-VLOOKUP(W$2, 'Debt Service'!$A$206:$DC$242, 'Debt Service'!$DC$201, FALSE)</f>
        <v>0</v>
      </c>
      <c r="X101" s="15">
        <f>-VLOOKUP(X$2, 'Debt Service'!$A$206:$DC$242, 'Debt Service'!$DC$201, FALSE)</f>
        <v>0</v>
      </c>
      <c r="Y101" s="15">
        <f>-VLOOKUP(Y$2, 'Debt Service'!$A$206:$DC$242, 'Debt Service'!$DC$201, FALSE)</f>
        <v>0</v>
      </c>
      <c r="Z101" s="15">
        <f>-VLOOKUP(Z$2, 'Debt Service'!$A$206:$DC$242, 'Debt Service'!$DC$201, FALSE)</f>
        <v>0</v>
      </c>
      <c r="AA101" s="15">
        <f>-VLOOKUP(AA$2, 'Debt Service'!$A$206:$DC$242, 'Debt Service'!$DC$201, FALSE)</f>
        <v>0</v>
      </c>
      <c r="AB101" s="15">
        <f>-VLOOKUP(AB$2, 'Debt Service'!$A$206:$DC$242, 'Debt Service'!$DC$201, FALSE)</f>
        <v>0</v>
      </c>
      <c r="AC101" s="15">
        <f>-VLOOKUP(AC$2, 'Debt Service'!$A$206:$DC$242, 'Debt Service'!$DC$201, FALSE)</f>
        <v>0</v>
      </c>
      <c r="AD101" s="15">
        <f>-VLOOKUP(AD$2, 'Debt Service'!$A$206:$DC$242, 'Debt Service'!$DC$201, FALSE)</f>
        <v>0</v>
      </c>
      <c r="AE101" s="15">
        <f>-VLOOKUP(AE$2, 'Debt Service'!$A$206:$DC$242, 'Debt Service'!$DC$201, FALSE)</f>
        <v>0</v>
      </c>
      <c r="AF101" s="15">
        <f>-VLOOKUP(AF$2, 'Debt Service'!$A$206:$DC$242, 'Debt Service'!$DC$201, FALSE)</f>
        <v>0</v>
      </c>
      <c r="AG101" s="15">
        <f>-VLOOKUP(AG$2, 'Debt Service'!$A$206:$DC$242, 'Debt Service'!$DC$201, FALSE)</f>
        <v>0</v>
      </c>
      <c r="AH101" s="15">
        <f>-VLOOKUP(AH$2, 'Debt Service'!$A$206:$DC$242, 'Debt Service'!$DC$201, FALSE)</f>
        <v>0</v>
      </c>
      <c r="AI101" s="15">
        <f>-VLOOKUP(AI$2, 'Debt Service'!$A$206:$DC$242, 'Debt Service'!$DC$201, FALSE)</f>
        <v>0</v>
      </c>
      <c r="AJ101" s="15">
        <f>-VLOOKUP(AJ$2, 'Debt Service'!$A$206:$DC$242, 'Debt Service'!$DC$201, FALSE)</f>
        <v>0</v>
      </c>
      <c r="AK101" s="15">
        <f>-VLOOKUP(AK$2, 'Debt Service'!$A$206:$DC$242, 'Debt Service'!$DC$201, FALSE)</f>
        <v>0</v>
      </c>
      <c r="AL101" s="15">
        <f>-VLOOKUP(AL$2, 'Debt Service'!$A$206:$DC$242, 'Debt Service'!$DC$201, FALSE)</f>
        <v>0</v>
      </c>
      <c r="AM101" s="15">
        <f>-VLOOKUP(AM$2, 'Debt Service'!$A$206:$DC$242, 'Debt Service'!$DC$201, FALSE)</f>
        <v>0</v>
      </c>
      <c r="AN101" s="93">
        <f>-'Debt Service'!DC$67</f>
        <v>-7464000</v>
      </c>
      <c r="AO101" s="29"/>
      <c r="AP101" s="10">
        <f t="shared" si="87"/>
        <v>36</v>
      </c>
      <c r="AQ101" s="73">
        <f t="shared" si="93"/>
        <v>0</v>
      </c>
    </row>
    <row r="102" spans="1:43" s="2" customFormat="1" outlineLevel="1">
      <c r="A102" s="132" t="str">
        <f>'Debt Service'!DG$52</f>
        <v>2024 Series</v>
      </c>
      <c r="B102" s="46"/>
      <c r="C102" s="15">
        <f>-VLOOKUP(C$2, 'Debt Service'!$A$206:$DG$242, 'Debt Service'!$DG$201, FALSE)</f>
        <v>0</v>
      </c>
      <c r="D102" s="15">
        <f>-VLOOKUP(D$2, 'Debt Service'!$A$206:$DG$242, 'Debt Service'!$DG$201, FALSE)</f>
        <v>0</v>
      </c>
      <c r="E102" s="15">
        <f>-VLOOKUP(E$2, 'Debt Service'!$A$206:$DG$242, 'Debt Service'!$DG$201, FALSE)</f>
        <v>0</v>
      </c>
      <c r="F102" s="15">
        <f>-VLOOKUP(F$2, 'Debt Service'!$A$206:$DG$242, 'Debt Service'!$DG$201, FALSE)</f>
        <v>0</v>
      </c>
      <c r="G102" s="15">
        <f>-VLOOKUP(G$2, 'Debt Service'!$A$206:$DG$242, 'Debt Service'!$DG$201, FALSE)</f>
        <v>0</v>
      </c>
      <c r="H102" s="15">
        <f>-VLOOKUP(H$2, 'Debt Service'!$A$206:$DG$242, 'Debt Service'!$DG$201, FALSE)</f>
        <v>0</v>
      </c>
      <c r="I102" s="15">
        <f>-VLOOKUP(I$2, 'Debt Service'!$A$206:$DG$242, 'Debt Service'!$DG$201, FALSE)</f>
        <v>0</v>
      </c>
      <c r="J102" s="15">
        <f>-VLOOKUP(J$2, 'Debt Service'!$A$206:$DG$242, 'Debt Service'!$DG$201, FALSE)</f>
        <v>0</v>
      </c>
      <c r="K102" s="15">
        <f>-VLOOKUP(K$2, 'Debt Service'!$A$206:$DG$242, 'Debt Service'!$DG$201, FALSE)</f>
        <v>0</v>
      </c>
      <c r="L102" s="15">
        <f>-VLOOKUP(L$2, 'Debt Service'!$A$206:$DG$242, 'Debt Service'!$DG$201, FALSE)</f>
        <v>0</v>
      </c>
      <c r="M102" s="15">
        <f>-VLOOKUP(M$2, 'Debt Service'!$A$206:$DG$242, 'Debt Service'!$DG$201, FALSE)</f>
        <v>0</v>
      </c>
      <c r="N102" s="15">
        <f>-VLOOKUP(N$2, 'Debt Service'!$A$206:$DG$242, 'Debt Service'!$DG$201, FALSE)</f>
        <v>0</v>
      </c>
      <c r="O102" s="15">
        <f>-VLOOKUP(O$2, 'Debt Service'!$A$206:$DG$242, 'Debt Service'!$DG$201, FALSE)</f>
        <v>0</v>
      </c>
      <c r="P102" s="15">
        <f>-VLOOKUP(P$2, 'Debt Service'!$A$206:$DG$242, 'Debt Service'!$DG$201, FALSE)</f>
        <v>0</v>
      </c>
      <c r="Q102" s="15">
        <f>-VLOOKUP(Q$2, 'Debt Service'!$A$206:$DG$242, 'Debt Service'!$DG$201, FALSE)</f>
        <v>0</v>
      </c>
      <c r="R102" s="15">
        <f>-VLOOKUP(R$2, 'Debt Service'!$A$206:$DG$242, 'Debt Service'!$DG$201, FALSE)</f>
        <v>0</v>
      </c>
      <c r="S102" s="15">
        <f>-VLOOKUP(S$2, 'Debt Service'!$A$206:$DG$242, 'Debt Service'!$DG$201, FALSE)</f>
        <v>0</v>
      </c>
      <c r="T102" s="15">
        <f>-VLOOKUP(T$2, 'Debt Service'!$A$206:$DG$242, 'Debt Service'!$DG$201, FALSE)</f>
        <v>0</v>
      </c>
      <c r="U102" s="15">
        <f>-VLOOKUP(U$2, 'Debt Service'!$A$206:$DG$242, 'Debt Service'!$DG$201, FALSE)</f>
        <v>0</v>
      </c>
      <c r="V102" s="15">
        <f>-VLOOKUP(V$2, 'Debt Service'!$A$206:$DG$242, 'Debt Service'!$DG$201, FALSE)</f>
        <v>0</v>
      </c>
      <c r="W102" s="15">
        <f>-VLOOKUP(W$2, 'Debt Service'!$A$206:$DG$242, 'Debt Service'!$DG$201, FALSE)</f>
        <v>0</v>
      </c>
      <c r="X102" s="15">
        <f>-VLOOKUP(X$2, 'Debt Service'!$A$206:$DG$242, 'Debt Service'!$DG$201, FALSE)</f>
        <v>0</v>
      </c>
      <c r="Y102" s="15">
        <f>-VLOOKUP(Y$2, 'Debt Service'!$A$206:$DG$242, 'Debt Service'!$DG$201, FALSE)</f>
        <v>0</v>
      </c>
      <c r="Z102" s="15">
        <f>-VLOOKUP(Z$2, 'Debt Service'!$A$206:$DG$242, 'Debt Service'!$DG$201, FALSE)</f>
        <v>0</v>
      </c>
      <c r="AA102" s="15">
        <f>-VLOOKUP(AA$2, 'Debt Service'!$A$206:$DG$242, 'Debt Service'!$DG$201, FALSE)</f>
        <v>0</v>
      </c>
      <c r="AB102" s="15">
        <f>-VLOOKUP(AB$2, 'Debt Service'!$A$206:$DG$242, 'Debt Service'!$DG$201, FALSE)</f>
        <v>0</v>
      </c>
      <c r="AC102" s="15">
        <f>-VLOOKUP(AC$2, 'Debt Service'!$A$206:$DG$242, 'Debt Service'!$DG$201, FALSE)</f>
        <v>0</v>
      </c>
      <c r="AD102" s="15">
        <f>-VLOOKUP(AD$2, 'Debt Service'!$A$206:$DG$242, 'Debt Service'!$DG$201, FALSE)</f>
        <v>0</v>
      </c>
      <c r="AE102" s="15">
        <f>-VLOOKUP(AE$2, 'Debt Service'!$A$206:$DG$242, 'Debt Service'!$DG$201, FALSE)</f>
        <v>0</v>
      </c>
      <c r="AF102" s="15">
        <f>-VLOOKUP(AF$2, 'Debt Service'!$A$206:$DG$242, 'Debt Service'!$DG$201, FALSE)</f>
        <v>0</v>
      </c>
      <c r="AG102" s="15">
        <f>-VLOOKUP(AG$2, 'Debt Service'!$A$206:$DG$242, 'Debt Service'!$DG$201, FALSE)</f>
        <v>0</v>
      </c>
      <c r="AH102" s="15">
        <f>-VLOOKUP(AH$2, 'Debt Service'!$A$206:$DG$242, 'Debt Service'!$DG$201, FALSE)</f>
        <v>0</v>
      </c>
      <c r="AI102" s="15">
        <f>-VLOOKUP(AI$2, 'Debt Service'!$A$206:$DG$242, 'Debt Service'!$DG$201, FALSE)</f>
        <v>0</v>
      </c>
      <c r="AJ102" s="15">
        <f>-VLOOKUP(AJ$2, 'Debt Service'!$A$206:$DG$242, 'Debt Service'!$DG$201, FALSE)</f>
        <v>0</v>
      </c>
      <c r="AK102" s="15">
        <f>-VLOOKUP(AK$2, 'Debt Service'!$A$206:$DG$242, 'Debt Service'!$DG$201, FALSE)</f>
        <v>0</v>
      </c>
      <c r="AL102" s="15">
        <f>-VLOOKUP(AL$2, 'Debt Service'!$A$206:$DG$242, 'Debt Service'!$DG$201, FALSE)</f>
        <v>0</v>
      </c>
      <c r="AM102" s="15">
        <f>-VLOOKUP(AM$2, 'Debt Service'!$A$206:$DG$242, 'Debt Service'!$DG$201, FALSE)</f>
        <v>0</v>
      </c>
      <c r="AN102" s="93">
        <f>-'Debt Service'!DG$67</f>
        <v>0</v>
      </c>
      <c r="AO102" s="29"/>
      <c r="AP102" s="10">
        <f t="shared" si="87"/>
        <v>37</v>
      </c>
      <c r="AQ102" s="73">
        <f t="shared" si="93"/>
        <v>0</v>
      </c>
    </row>
    <row r="103" spans="1:43" s="2" customFormat="1" outlineLevel="1">
      <c r="A103" s="132" t="str">
        <f>'Debt Service'!DK$52</f>
        <v>2025 Series</v>
      </c>
      <c r="B103" s="46"/>
      <c r="C103" s="15">
        <f>-VLOOKUP(C$2, 'Debt Service'!$A$206:$DK$242, 'Debt Service'!$DK$201, FALSE)</f>
        <v>0</v>
      </c>
      <c r="D103" s="15">
        <f>-VLOOKUP(D$2, 'Debt Service'!$A$206:$DK$242, 'Debt Service'!$DK$201, FALSE)</f>
        <v>0</v>
      </c>
      <c r="E103" s="15">
        <f>-VLOOKUP(E$2, 'Debt Service'!$A$206:$DK$242, 'Debt Service'!$DK$201, FALSE)</f>
        <v>0</v>
      </c>
      <c r="F103" s="15">
        <f>-VLOOKUP(F$2, 'Debt Service'!$A$206:$DK$242, 'Debt Service'!$DK$201, FALSE)</f>
        <v>0</v>
      </c>
      <c r="G103" s="15">
        <f>-VLOOKUP(G$2, 'Debt Service'!$A$206:$DK$242, 'Debt Service'!$DK$201, FALSE)</f>
        <v>0</v>
      </c>
      <c r="H103" s="15">
        <f>-VLOOKUP(H$2, 'Debt Service'!$A$206:$DK$242, 'Debt Service'!$DK$201, FALSE)</f>
        <v>0</v>
      </c>
      <c r="I103" s="15">
        <f>-VLOOKUP(I$2, 'Debt Service'!$A$206:$DK$242, 'Debt Service'!$DK$201, FALSE)</f>
        <v>0</v>
      </c>
      <c r="J103" s="15">
        <f>-VLOOKUP(J$2, 'Debt Service'!$A$206:$DK$242, 'Debt Service'!$DK$201, FALSE)</f>
        <v>0</v>
      </c>
      <c r="K103" s="15">
        <f>-VLOOKUP(K$2, 'Debt Service'!$A$206:$DK$242, 'Debt Service'!$DK$201, FALSE)</f>
        <v>0</v>
      </c>
      <c r="L103" s="15">
        <f>-VLOOKUP(L$2, 'Debt Service'!$A$206:$DK$242, 'Debt Service'!$DK$201, FALSE)</f>
        <v>0</v>
      </c>
      <c r="M103" s="15">
        <f>-VLOOKUP(M$2, 'Debt Service'!$A$206:$DK$242, 'Debt Service'!$DK$201, FALSE)</f>
        <v>0</v>
      </c>
      <c r="N103" s="15">
        <f>-VLOOKUP(N$2, 'Debt Service'!$A$206:$DK$242, 'Debt Service'!$DK$201, FALSE)</f>
        <v>0</v>
      </c>
      <c r="O103" s="15">
        <f>-VLOOKUP(O$2, 'Debt Service'!$A$206:$DK$242, 'Debt Service'!$DK$201, FALSE)</f>
        <v>0</v>
      </c>
      <c r="P103" s="15">
        <f>-VLOOKUP(P$2, 'Debt Service'!$A$206:$DK$242, 'Debt Service'!$DK$201, FALSE)</f>
        <v>0</v>
      </c>
      <c r="Q103" s="15">
        <f>-VLOOKUP(Q$2, 'Debt Service'!$A$206:$DK$242, 'Debt Service'!$DK$201, FALSE)</f>
        <v>0</v>
      </c>
      <c r="R103" s="15">
        <f>-VLOOKUP(R$2, 'Debt Service'!$A$206:$DK$242, 'Debt Service'!$DK$201, FALSE)</f>
        <v>0</v>
      </c>
      <c r="S103" s="15">
        <f>-VLOOKUP(S$2, 'Debt Service'!$A$206:$DK$242, 'Debt Service'!$DK$201, FALSE)</f>
        <v>0</v>
      </c>
      <c r="T103" s="15">
        <f>-VLOOKUP(T$2, 'Debt Service'!$A$206:$DK$242, 'Debt Service'!$DK$201, FALSE)</f>
        <v>0</v>
      </c>
      <c r="U103" s="15">
        <f>-VLOOKUP(U$2, 'Debt Service'!$A$206:$DK$242, 'Debt Service'!$DK$201, FALSE)</f>
        <v>0</v>
      </c>
      <c r="V103" s="15">
        <f>-VLOOKUP(V$2, 'Debt Service'!$A$206:$DK$242, 'Debt Service'!$DK$201, FALSE)</f>
        <v>0</v>
      </c>
      <c r="W103" s="15">
        <f>-VLOOKUP(W$2, 'Debt Service'!$A$206:$DK$242, 'Debt Service'!$DK$201, FALSE)</f>
        <v>0</v>
      </c>
      <c r="X103" s="15">
        <f>-VLOOKUP(X$2, 'Debt Service'!$A$206:$DK$242, 'Debt Service'!$DK$201, FALSE)</f>
        <v>0</v>
      </c>
      <c r="Y103" s="15">
        <f>-VLOOKUP(Y$2, 'Debt Service'!$A$206:$DK$242, 'Debt Service'!$DK$201, FALSE)</f>
        <v>0</v>
      </c>
      <c r="Z103" s="15">
        <f>-VLOOKUP(Z$2, 'Debt Service'!$A$206:$DK$242, 'Debt Service'!$DK$201, FALSE)</f>
        <v>0</v>
      </c>
      <c r="AA103" s="15">
        <f>-VLOOKUP(AA$2, 'Debt Service'!$A$206:$DK$242, 'Debt Service'!$DK$201, FALSE)</f>
        <v>0</v>
      </c>
      <c r="AB103" s="15">
        <f>-VLOOKUP(AB$2, 'Debt Service'!$A$206:$DK$242, 'Debt Service'!$DK$201, FALSE)</f>
        <v>0</v>
      </c>
      <c r="AC103" s="15">
        <f>-VLOOKUP(AC$2, 'Debt Service'!$A$206:$DK$242, 'Debt Service'!$DK$201, FALSE)</f>
        <v>0</v>
      </c>
      <c r="AD103" s="15">
        <f>-VLOOKUP(AD$2, 'Debt Service'!$A$206:$DK$242, 'Debt Service'!$DK$201, FALSE)</f>
        <v>0</v>
      </c>
      <c r="AE103" s="15">
        <f>-VLOOKUP(AE$2, 'Debt Service'!$A$206:$DK$242, 'Debt Service'!$DK$201, FALSE)</f>
        <v>0</v>
      </c>
      <c r="AF103" s="15">
        <f>-VLOOKUP(AF$2, 'Debt Service'!$A$206:$DK$242, 'Debt Service'!$DK$201, FALSE)</f>
        <v>0</v>
      </c>
      <c r="AG103" s="15">
        <f>-VLOOKUP(AG$2, 'Debt Service'!$A$206:$DK$242, 'Debt Service'!$DK$201, FALSE)</f>
        <v>0</v>
      </c>
      <c r="AH103" s="15">
        <f>-VLOOKUP(AH$2, 'Debt Service'!$A$206:$DK$242, 'Debt Service'!$DK$201, FALSE)</f>
        <v>0</v>
      </c>
      <c r="AI103" s="15">
        <f>-VLOOKUP(AI$2, 'Debt Service'!$A$206:$DK$242, 'Debt Service'!$DK$201, FALSE)</f>
        <v>0</v>
      </c>
      <c r="AJ103" s="15">
        <f>-VLOOKUP(AJ$2, 'Debt Service'!$A$206:$DK$242, 'Debt Service'!$DK$201, FALSE)</f>
        <v>0</v>
      </c>
      <c r="AK103" s="15">
        <f>-VLOOKUP(AK$2, 'Debt Service'!$A$206:$DK$242, 'Debt Service'!$DK$201, FALSE)</f>
        <v>0</v>
      </c>
      <c r="AL103" s="15">
        <f>-VLOOKUP(AL$2, 'Debt Service'!$A$206:$DK$242, 'Debt Service'!$DK$201, FALSE)</f>
        <v>0</v>
      </c>
      <c r="AM103" s="15">
        <f>-VLOOKUP(AM$2, 'Debt Service'!$A$206:$DK$242, 'Debt Service'!$DK$201, FALSE)</f>
        <v>0</v>
      </c>
      <c r="AN103" s="93">
        <f>-'Debt Service'!DK$67</f>
        <v>0</v>
      </c>
      <c r="AO103" s="29"/>
      <c r="AP103" s="10">
        <f t="shared" si="87"/>
        <v>38</v>
      </c>
      <c r="AQ103" s="73">
        <f t="shared" si="93"/>
        <v>0</v>
      </c>
    </row>
    <row r="104" spans="1:43" s="2" customFormat="1" outlineLevel="1">
      <c r="A104" s="132" t="str">
        <f>'Debt Service'!DO$52</f>
        <v>2026 Series</v>
      </c>
      <c r="B104" s="46"/>
      <c r="C104" s="15">
        <f>-VLOOKUP(C$2, 'Debt Service'!$A$206:$DOK$242, 'Debt Service'!$DO$201, FALSE)</f>
        <v>0</v>
      </c>
      <c r="D104" s="15">
        <f>-VLOOKUP(D$2, 'Debt Service'!$A$206:$DOK$242, 'Debt Service'!$DO$201, FALSE)</f>
        <v>0</v>
      </c>
      <c r="E104" s="15">
        <f>-VLOOKUP(E$2, 'Debt Service'!$A$206:$DOK$242, 'Debt Service'!$DO$201, FALSE)</f>
        <v>0</v>
      </c>
      <c r="F104" s="15">
        <f>-VLOOKUP(F$2, 'Debt Service'!$A$206:$DOK$242, 'Debt Service'!$DO$201, FALSE)</f>
        <v>0</v>
      </c>
      <c r="G104" s="15">
        <f>-VLOOKUP(G$2, 'Debt Service'!$A$206:$DOK$242, 'Debt Service'!$DO$201, FALSE)</f>
        <v>0</v>
      </c>
      <c r="H104" s="15">
        <f>-VLOOKUP(H$2, 'Debt Service'!$A$206:$DOK$242, 'Debt Service'!$DO$201, FALSE)</f>
        <v>0</v>
      </c>
      <c r="I104" s="15">
        <f>-VLOOKUP(I$2, 'Debt Service'!$A$206:$DOK$242, 'Debt Service'!$DO$201, FALSE)</f>
        <v>0</v>
      </c>
      <c r="J104" s="15">
        <f>-VLOOKUP(J$2, 'Debt Service'!$A$206:$DOK$242, 'Debt Service'!$DO$201, FALSE)</f>
        <v>0</v>
      </c>
      <c r="K104" s="15">
        <f>-VLOOKUP(K$2, 'Debt Service'!$A$206:$DOK$242, 'Debt Service'!$DO$201, FALSE)</f>
        <v>0</v>
      </c>
      <c r="L104" s="15">
        <f>-VLOOKUP(L$2, 'Debt Service'!$A$206:$DOK$242, 'Debt Service'!$DO$201, FALSE)</f>
        <v>0</v>
      </c>
      <c r="M104" s="15">
        <f>-VLOOKUP(M$2, 'Debt Service'!$A$206:$DOK$242, 'Debt Service'!$DO$201, FALSE)</f>
        <v>0</v>
      </c>
      <c r="N104" s="15">
        <f>-VLOOKUP(N$2, 'Debt Service'!$A$206:$DOK$242, 'Debt Service'!$DO$201, FALSE)</f>
        <v>0</v>
      </c>
      <c r="O104" s="15">
        <f>-VLOOKUP(O$2, 'Debt Service'!$A$206:$DOK$242, 'Debt Service'!$DO$201, FALSE)</f>
        <v>0</v>
      </c>
      <c r="P104" s="15">
        <f>-VLOOKUP(P$2, 'Debt Service'!$A$206:$DOK$242, 'Debt Service'!$DO$201, FALSE)</f>
        <v>0</v>
      </c>
      <c r="Q104" s="15">
        <f>-VLOOKUP(Q$2, 'Debt Service'!$A$206:$DOK$242, 'Debt Service'!$DO$201, FALSE)</f>
        <v>0</v>
      </c>
      <c r="R104" s="15">
        <f>-VLOOKUP(R$2, 'Debt Service'!$A$206:$DOK$242, 'Debt Service'!$DO$201, FALSE)</f>
        <v>0</v>
      </c>
      <c r="S104" s="15">
        <f>-VLOOKUP(S$2, 'Debt Service'!$A$206:$DOK$242, 'Debt Service'!$DO$201, FALSE)</f>
        <v>0</v>
      </c>
      <c r="T104" s="15">
        <f>-VLOOKUP(T$2, 'Debt Service'!$A$206:$DOK$242, 'Debt Service'!$DO$201, FALSE)</f>
        <v>0</v>
      </c>
      <c r="U104" s="15">
        <f>-VLOOKUP(U$2, 'Debt Service'!$A$206:$DOK$242, 'Debt Service'!$DO$201, FALSE)</f>
        <v>0</v>
      </c>
      <c r="V104" s="15">
        <f>-VLOOKUP(V$2, 'Debt Service'!$A$206:$DOK$242, 'Debt Service'!$DO$201, FALSE)</f>
        <v>0</v>
      </c>
      <c r="W104" s="15">
        <f>-VLOOKUP(W$2, 'Debt Service'!$A$206:$DOK$242, 'Debt Service'!$DO$201, FALSE)</f>
        <v>0</v>
      </c>
      <c r="X104" s="15">
        <f>-VLOOKUP(X$2, 'Debt Service'!$A$206:$DOK$242, 'Debt Service'!$DO$201, FALSE)</f>
        <v>0</v>
      </c>
      <c r="Y104" s="15">
        <f>-VLOOKUP(Y$2, 'Debt Service'!$A$206:$DOK$242, 'Debt Service'!$DO$201, FALSE)</f>
        <v>0</v>
      </c>
      <c r="Z104" s="15">
        <f>-VLOOKUP(Z$2, 'Debt Service'!$A$206:$DOK$242, 'Debt Service'!$DO$201, FALSE)</f>
        <v>0</v>
      </c>
      <c r="AA104" s="15">
        <f>-VLOOKUP(AA$2, 'Debt Service'!$A$206:$DOK$242, 'Debt Service'!$DO$201, FALSE)</f>
        <v>0</v>
      </c>
      <c r="AB104" s="15">
        <f>-VLOOKUP(AB$2, 'Debt Service'!$A$206:$DOK$242, 'Debt Service'!$DO$201, FALSE)</f>
        <v>0</v>
      </c>
      <c r="AC104" s="15">
        <f>-VLOOKUP(AC$2, 'Debt Service'!$A$206:$DOK$242, 'Debt Service'!$DO$201, FALSE)</f>
        <v>0</v>
      </c>
      <c r="AD104" s="15">
        <f>-VLOOKUP(AD$2, 'Debt Service'!$A$206:$DOK$242, 'Debt Service'!$DO$201, FALSE)</f>
        <v>0</v>
      </c>
      <c r="AE104" s="15">
        <f>-VLOOKUP(AE$2, 'Debt Service'!$A$206:$DOK$242, 'Debt Service'!$DO$201, FALSE)</f>
        <v>0</v>
      </c>
      <c r="AF104" s="15">
        <f>-VLOOKUP(AF$2, 'Debt Service'!$A$206:$DOK$242, 'Debt Service'!$DO$201, FALSE)</f>
        <v>0</v>
      </c>
      <c r="AG104" s="15">
        <f>-VLOOKUP(AG$2, 'Debt Service'!$A$206:$DOK$242, 'Debt Service'!$DO$201, FALSE)</f>
        <v>0</v>
      </c>
      <c r="AH104" s="15">
        <f>-VLOOKUP(AH$2, 'Debt Service'!$A$206:$DOK$242, 'Debt Service'!$DO$201, FALSE)</f>
        <v>0</v>
      </c>
      <c r="AI104" s="15">
        <f>-VLOOKUP(AI$2, 'Debt Service'!$A$206:$DOK$242, 'Debt Service'!$DO$201, FALSE)</f>
        <v>0</v>
      </c>
      <c r="AJ104" s="15">
        <f>-VLOOKUP(AJ$2, 'Debt Service'!$A$206:$DOK$242, 'Debt Service'!$DO$201, FALSE)</f>
        <v>0</v>
      </c>
      <c r="AK104" s="15">
        <f>-VLOOKUP(AK$2, 'Debt Service'!$A$206:$DOK$242, 'Debt Service'!$DO$201, FALSE)</f>
        <v>0</v>
      </c>
      <c r="AL104" s="15">
        <f>-VLOOKUP(AL$2, 'Debt Service'!$A$206:$DOK$242, 'Debt Service'!$DO$201, FALSE)</f>
        <v>0</v>
      </c>
      <c r="AM104" s="15">
        <f>-VLOOKUP(AM$2, 'Debt Service'!$A$206:$DOK$242, 'Debt Service'!$DO$201, FALSE)</f>
        <v>0</v>
      </c>
      <c r="AN104" s="93">
        <f>-'Debt Service'!DO$67</f>
        <v>0</v>
      </c>
      <c r="AO104" s="29"/>
      <c r="AP104" s="10">
        <f t="shared" si="87"/>
        <v>39</v>
      </c>
      <c r="AQ104" s="73">
        <f t="shared" si="93"/>
        <v>0</v>
      </c>
    </row>
    <row r="105" spans="1:43" s="2" customFormat="1" outlineLevel="1">
      <c r="A105" s="132" t="str">
        <f>'Debt Service'!DS$52</f>
        <v>2027 Series</v>
      </c>
      <c r="B105" s="46"/>
      <c r="C105" s="15">
        <f>-VLOOKUP(C$2, 'Debt Service'!$A$206:$DS$242, 'Debt Service'!$DS$201, FALSE)</f>
        <v>0</v>
      </c>
      <c r="D105" s="15">
        <f>-VLOOKUP(D$2, 'Debt Service'!$A$206:$DS$242, 'Debt Service'!$DS$201, FALSE)</f>
        <v>0</v>
      </c>
      <c r="E105" s="15">
        <f>-VLOOKUP(E$2, 'Debt Service'!$A$206:$DS$242, 'Debt Service'!$DS$201, FALSE)</f>
        <v>0</v>
      </c>
      <c r="F105" s="15">
        <f>-VLOOKUP(F$2, 'Debt Service'!$A$206:$DS$242, 'Debt Service'!$DS$201, FALSE)</f>
        <v>0</v>
      </c>
      <c r="G105" s="15">
        <f>-VLOOKUP(G$2, 'Debt Service'!$A$206:$DS$242, 'Debt Service'!$DS$201, FALSE)</f>
        <v>0</v>
      </c>
      <c r="H105" s="15">
        <f>-VLOOKUP(H$2, 'Debt Service'!$A$206:$DS$242, 'Debt Service'!$DS$201, FALSE)</f>
        <v>0</v>
      </c>
      <c r="I105" s="15">
        <f>-VLOOKUP(I$2, 'Debt Service'!$A$206:$DS$242, 'Debt Service'!$DS$201, FALSE)</f>
        <v>0</v>
      </c>
      <c r="J105" s="15">
        <f>-VLOOKUP(J$2, 'Debt Service'!$A$206:$DS$242, 'Debt Service'!$DS$201, FALSE)</f>
        <v>0</v>
      </c>
      <c r="K105" s="15">
        <f>-VLOOKUP(K$2, 'Debt Service'!$A$206:$DS$242, 'Debt Service'!$DS$201, FALSE)</f>
        <v>0</v>
      </c>
      <c r="L105" s="15">
        <f>-VLOOKUP(L$2, 'Debt Service'!$A$206:$DS$242, 'Debt Service'!$DS$201, FALSE)</f>
        <v>0</v>
      </c>
      <c r="M105" s="15">
        <f>-VLOOKUP(M$2, 'Debt Service'!$A$206:$DS$242, 'Debt Service'!$DS$201, FALSE)</f>
        <v>0</v>
      </c>
      <c r="N105" s="15">
        <f>-VLOOKUP(N$2, 'Debt Service'!$A$206:$DS$242, 'Debt Service'!$DS$201, FALSE)</f>
        <v>0</v>
      </c>
      <c r="O105" s="15">
        <f>-VLOOKUP(O$2, 'Debt Service'!$A$206:$DS$242, 'Debt Service'!$DS$201, FALSE)</f>
        <v>0</v>
      </c>
      <c r="P105" s="15">
        <f>-VLOOKUP(P$2, 'Debt Service'!$A$206:$DS$242, 'Debt Service'!$DS$201, FALSE)</f>
        <v>0</v>
      </c>
      <c r="Q105" s="15">
        <f>-VLOOKUP(Q$2, 'Debt Service'!$A$206:$DS$242, 'Debt Service'!$DS$201, FALSE)</f>
        <v>0</v>
      </c>
      <c r="R105" s="15">
        <f>-VLOOKUP(R$2, 'Debt Service'!$A$206:$DS$242, 'Debt Service'!$DS$201, FALSE)</f>
        <v>0</v>
      </c>
      <c r="S105" s="15">
        <f>-VLOOKUP(S$2, 'Debt Service'!$A$206:$DS$242, 'Debt Service'!$DS$201, FALSE)</f>
        <v>0</v>
      </c>
      <c r="T105" s="15">
        <f>-VLOOKUP(T$2, 'Debt Service'!$A$206:$DS$242, 'Debt Service'!$DS$201, FALSE)</f>
        <v>0</v>
      </c>
      <c r="U105" s="15">
        <f>-VLOOKUP(U$2, 'Debt Service'!$A$206:$DS$242, 'Debt Service'!$DS$201, FALSE)</f>
        <v>0</v>
      </c>
      <c r="V105" s="15">
        <f>-VLOOKUP(V$2, 'Debt Service'!$A$206:$DS$242, 'Debt Service'!$DS$201, FALSE)</f>
        <v>0</v>
      </c>
      <c r="W105" s="15">
        <f>-VLOOKUP(W$2, 'Debt Service'!$A$206:$DS$242, 'Debt Service'!$DS$201, FALSE)</f>
        <v>0</v>
      </c>
      <c r="X105" s="15">
        <f>-VLOOKUP(X$2, 'Debt Service'!$A$206:$DS$242, 'Debt Service'!$DS$201, FALSE)</f>
        <v>0</v>
      </c>
      <c r="Y105" s="15">
        <f>-VLOOKUP(Y$2, 'Debt Service'!$A$206:$DS$242, 'Debt Service'!$DS$201, FALSE)</f>
        <v>0</v>
      </c>
      <c r="Z105" s="15">
        <f>-VLOOKUP(Z$2, 'Debt Service'!$A$206:$DS$242, 'Debt Service'!$DS$201, FALSE)</f>
        <v>0</v>
      </c>
      <c r="AA105" s="15">
        <f>-VLOOKUP(AA$2, 'Debt Service'!$A$206:$DS$242, 'Debt Service'!$DS$201, FALSE)</f>
        <v>0</v>
      </c>
      <c r="AB105" s="15">
        <f>-VLOOKUP(AB$2, 'Debt Service'!$A$206:$DS$242, 'Debt Service'!$DS$201, FALSE)</f>
        <v>0</v>
      </c>
      <c r="AC105" s="15">
        <f>-VLOOKUP(AC$2, 'Debt Service'!$A$206:$DS$242, 'Debt Service'!$DS$201, FALSE)</f>
        <v>0</v>
      </c>
      <c r="AD105" s="15">
        <f>-VLOOKUP(AD$2, 'Debt Service'!$A$206:$DS$242, 'Debt Service'!$DS$201, FALSE)</f>
        <v>0</v>
      </c>
      <c r="AE105" s="15">
        <f>-VLOOKUP(AE$2, 'Debt Service'!$A$206:$DS$242, 'Debt Service'!$DS$201, FALSE)</f>
        <v>0</v>
      </c>
      <c r="AF105" s="15">
        <f>-VLOOKUP(AF$2, 'Debt Service'!$A$206:$DS$242, 'Debt Service'!$DS$201, FALSE)</f>
        <v>0</v>
      </c>
      <c r="AG105" s="15">
        <f>-VLOOKUP(AG$2, 'Debt Service'!$A$206:$DS$242, 'Debt Service'!$DS$201, FALSE)</f>
        <v>0</v>
      </c>
      <c r="AH105" s="15">
        <f>-VLOOKUP(AH$2, 'Debt Service'!$A$206:$DS$242, 'Debt Service'!$DS$201, FALSE)</f>
        <v>0</v>
      </c>
      <c r="AI105" s="15">
        <f>-VLOOKUP(AI$2, 'Debt Service'!$A$206:$DS$242, 'Debt Service'!$DS$201, FALSE)</f>
        <v>0</v>
      </c>
      <c r="AJ105" s="15">
        <f>-VLOOKUP(AJ$2, 'Debt Service'!$A$206:$DS$242, 'Debt Service'!$DS$201, FALSE)</f>
        <v>0</v>
      </c>
      <c r="AK105" s="15">
        <f>-VLOOKUP(AK$2, 'Debt Service'!$A$206:$DS$242, 'Debt Service'!$DS$201, FALSE)</f>
        <v>0</v>
      </c>
      <c r="AL105" s="15">
        <f>-VLOOKUP(AL$2, 'Debt Service'!$A$206:$DS$242, 'Debt Service'!$DS$201, FALSE)</f>
        <v>0</v>
      </c>
      <c r="AM105" s="15">
        <f>-VLOOKUP(AM$2, 'Debt Service'!$A$206:$DS$242, 'Debt Service'!$DS$201, FALSE)</f>
        <v>0</v>
      </c>
      <c r="AN105" s="93">
        <f>-'Debt Service'!DS$67</f>
        <v>0</v>
      </c>
      <c r="AO105" s="29"/>
      <c r="AP105" s="10">
        <f t="shared" si="87"/>
        <v>40</v>
      </c>
      <c r="AQ105" s="73">
        <f t="shared" si="93"/>
        <v>0</v>
      </c>
    </row>
    <row r="106" spans="1:43" s="2" customFormat="1" ht="16" outlineLevel="1">
      <c r="A106" s="91"/>
      <c r="B106" s="48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15"/>
      <c r="AG106" s="47"/>
      <c r="AH106" s="47"/>
      <c r="AI106" s="47"/>
      <c r="AJ106" s="47"/>
      <c r="AK106" s="47"/>
      <c r="AL106" s="47"/>
      <c r="AM106" s="47"/>
      <c r="AN106" s="94"/>
      <c r="AO106" s="29"/>
      <c r="AP106" s="10">
        <f t="shared" si="87"/>
        <v>41</v>
      </c>
      <c r="AQ106" s="73"/>
    </row>
    <row r="107" spans="1:43" s="58" customFormat="1" outlineLevel="1">
      <c r="A107" s="49" t="s">
        <v>35</v>
      </c>
      <c r="B107" s="56"/>
      <c r="C107" s="55">
        <f t="shared" ref="C107:AN107" si="94">SUM(C89:C106)</f>
        <v>-1992000</v>
      </c>
      <c r="D107" s="55">
        <f t="shared" si="94"/>
        <v>0</v>
      </c>
      <c r="E107" s="55">
        <f t="shared" si="94"/>
        <v>0</v>
      </c>
      <c r="F107" s="55">
        <f t="shared" si="94"/>
        <v>-1681500</v>
      </c>
      <c r="G107" s="55">
        <f t="shared" si="94"/>
        <v>-21953500</v>
      </c>
      <c r="H107" s="55">
        <f t="shared" si="94"/>
        <v>-2880000</v>
      </c>
      <c r="I107" s="55">
        <f t="shared" si="94"/>
        <v>-310000</v>
      </c>
      <c r="J107" s="55">
        <f t="shared" si="94"/>
        <v>0</v>
      </c>
      <c r="K107" s="55">
        <f t="shared" si="94"/>
        <v>-12500000</v>
      </c>
      <c r="L107" s="55">
        <f t="shared" si="94"/>
        <v>-3207245.4796851734</v>
      </c>
      <c r="M107" s="55">
        <f t="shared" si="94"/>
        <v>-2171509.0406296533</v>
      </c>
      <c r="N107" s="55">
        <f t="shared" si="94"/>
        <v>-2646245.4796851734</v>
      </c>
      <c r="O107" s="55">
        <f t="shared" si="94"/>
        <v>0</v>
      </c>
      <c r="P107" s="55">
        <f t="shared" si="94"/>
        <v>-3628000</v>
      </c>
      <c r="Q107" s="55">
        <f t="shared" si="94"/>
        <v>0</v>
      </c>
      <c r="R107" s="55">
        <f t="shared" si="94"/>
        <v>0</v>
      </c>
      <c r="S107" s="55">
        <f t="shared" si="94"/>
        <v>0</v>
      </c>
      <c r="T107" s="55">
        <f t="shared" si="94"/>
        <v>0</v>
      </c>
      <c r="U107" s="55">
        <f t="shared" si="94"/>
        <v>-3140000</v>
      </c>
      <c r="V107" s="55">
        <f t="shared" si="94"/>
        <v>0</v>
      </c>
      <c r="W107" s="55">
        <f t="shared" si="94"/>
        <v>0</v>
      </c>
      <c r="X107" s="55">
        <f t="shared" si="94"/>
        <v>0</v>
      </c>
      <c r="Y107" s="55">
        <f t="shared" si="94"/>
        <v>0</v>
      </c>
      <c r="Z107" s="55">
        <f t="shared" si="94"/>
        <v>0</v>
      </c>
      <c r="AA107" s="55">
        <f t="shared" si="94"/>
        <v>-5682000</v>
      </c>
      <c r="AB107" s="55">
        <f t="shared" si="94"/>
        <v>0</v>
      </c>
      <c r="AC107" s="55">
        <f t="shared" si="94"/>
        <v>0</v>
      </c>
      <c r="AD107" s="55">
        <f t="shared" si="94"/>
        <v>0</v>
      </c>
      <c r="AE107" s="55">
        <f t="shared" si="94"/>
        <v>-3379000</v>
      </c>
      <c r="AF107" s="55">
        <f t="shared" si="94"/>
        <v>0</v>
      </c>
      <c r="AG107" s="55">
        <f t="shared" si="94"/>
        <v>0</v>
      </c>
      <c r="AH107" s="55">
        <f t="shared" si="94"/>
        <v>-3428000</v>
      </c>
      <c r="AI107" s="55">
        <f t="shared" si="94"/>
        <v>0</v>
      </c>
      <c r="AJ107" s="55">
        <f t="shared" si="94"/>
        <v>-6424000</v>
      </c>
      <c r="AK107" s="55">
        <f t="shared" si="94"/>
        <v>0</v>
      </c>
      <c r="AL107" s="55">
        <f t="shared" si="94"/>
        <v>0</v>
      </c>
      <c r="AM107" s="55">
        <f t="shared" si="94"/>
        <v>0</v>
      </c>
      <c r="AN107" s="55">
        <f t="shared" si="94"/>
        <v>-75023000</v>
      </c>
      <c r="AO107" s="55"/>
      <c r="AP107" s="10">
        <f t="shared" si="87"/>
        <v>42</v>
      </c>
    </row>
    <row r="108" spans="1:43" ht="16">
      <c r="A108" s="49"/>
      <c r="B108" s="48"/>
      <c r="C108" s="47"/>
      <c r="D108" s="47"/>
      <c r="E108" s="47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50"/>
      <c r="AO108" s="50"/>
      <c r="AP108" s="10">
        <f t="shared" si="87"/>
        <v>43</v>
      </c>
    </row>
    <row r="109" spans="1:43" ht="16">
      <c r="A109" s="92" t="s">
        <v>121</v>
      </c>
      <c r="B109" s="48"/>
      <c r="C109" s="47">
        <f t="shared" ref="C109:AN109" si="95">C86+C107</f>
        <v>48008000</v>
      </c>
      <c r="D109" s="47">
        <f t="shared" si="95"/>
        <v>0</v>
      </c>
      <c r="E109" s="47">
        <f t="shared" si="95"/>
        <v>0</v>
      </c>
      <c r="F109" s="47">
        <f t="shared" si="95"/>
        <v>15133500</v>
      </c>
      <c r="G109" s="47">
        <f t="shared" si="95"/>
        <v>197581500</v>
      </c>
      <c r="H109" s="47">
        <f t="shared" si="95"/>
        <v>64120000</v>
      </c>
      <c r="I109" s="47">
        <f t="shared" si="95"/>
        <v>4690000</v>
      </c>
      <c r="J109" s="47">
        <f t="shared" si="95"/>
        <v>0</v>
      </c>
      <c r="K109" s="47">
        <f t="shared" si="95"/>
        <v>112500000</v>
      </c>
      <c r="L109" s="47">
        <f t="shared" si="95"/>
        <v>56792754.520314828</v>
      </c>
      <c r="M109" s="47">
        <f t="shared" si="95"/>
        <v>38858490.959370345</v>
      </c>
      <c r="N109" s="47">
        <f t="shared" si="95"/>
        <v>47353754.520314828</v>
      </c>
      <c r="O109" s="47">
        <f t="shared" si="95"/>
        <v>0</v>
      </c>
      <c r="P109" s="47">
        <f t="shared" si="95"/>
        <v>56372000</v>
      </c>
      <c r="Q109" s="47">
        <f t="shared" si="95"/>
        <v>0</v>
      </c>
      <c r="R109" s="47">
        <f t="shared" si="95"/>
        <v>0</v>
      </c>
      <c r="S109" s="47">
        <f t="shared" si="95"/>
        <v>0</v>
      </c>
      <c r="T109" s="47">
        <f t="shared" si="95"/>
        <v>0</v>
      </c>
      <c r="U109" s="47">
        <f t="shared" si="95"/>
        <v>46860000</v>
      </c>
      <c r="V109" s="47">
        <f t="shared" si="95"/>
        <v>0</v>
      </c>
      <c r="W109" s="47">
        <f t="shared" si="95"/>
        <v>0</v>
      </c>
      <c r="X109" s="47">
        <f t="shared" si="95"/>
        <v>0</v>
      </c>
      <c r="Y109" s="47">
        <f t="shared" si="95"/>
        <v>0</v>
      </c>
      <c r="Z109" s="47">
        <f t="shared" si="95"/>
        <v>0</v>
      </c>
      <c r="AA109" s="47">
        <f t="shared" si="95"/>
        <v>99318000</v>
      </c>
      <c r="AB109" s="47">
        <f t="shared" si="95"/>
        <v>0</v>
      </c>
      <c r="AC109" s="47">
        <f t="shared" si="95"/>
        <v>0</v>
      </c>
      <c r="AD109" s="47">
        <f t="shared" si="95"/>
        <v>0</v>
      </c>
      <c r="AE109" s="47">
        <f t="shared" si="95"/>
        <v>71621000</v>
      </c>
      <c r="AF109" s="47">
        <f t="shared" si="95"/>
        <v>0</v>
      </c>
      <c r="AG109" s="47">
        <f t="shared" si="95"/>
        <v>0</v>
      </c>
      <c r="AH109" s="47">
        <f t="shared" si="95"/>
        <v>71572000</v>
      </c>
      <c r="AI109" s="47">
        <f t="shared" si="95"/>
        <v>0</v>
      </c>
      <c r="AJ109" s="47">
        <f t="shared" si="95"/>
        <v>143576000</v>
      </c>
      <c r="AK109" s="47">
        <f t="shared" si="95"/>
        <v>0</v>
      </c>
      <c r="AL109" s="47">
        <f t="shared" si="95"/>
        <v>0</v>
      </c>
      <c r="AM109" s="47">
        <f t="shared" si="95"/>
        <v>0</v>
      </c>
      <c r="AN109" s="47">
        <f t="shared" si="95"/>
        <v>1074357000</v>
      </c>
      <c r="AO109" s="47"/>
      <c r="AP109" s="10">
        <f t="shared" si="87"/>
        <v>44</v>
      </c>
    </row>
    <row r="110" spans="1:43">
      <c r="A110" s="49"/>
      <c r="C110" s="15"/>
      <c r="E110" s="15"/>
      <c r="F110" s="46"/>
      <c r="G110" s="15"/>
      <c r="H110" s="15"/>
      <c r="I110" s="15"/>
      <c r="P110" s="15"/>
      <c r="Q110" s="15"/>
      <c r="U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0">
        <f t="shared" si="87"/>
        <v>45</v>
      </c>
    </row>
    <row r="111" spans="1:43" s="58" customFormat="1">
      <c r="A111" s="49" t="s">
        <v>36</v>
      </c>
      <c r="B111" s="56"/>
      <c r="C111" s="55">
        <f t="shared" ref="C111:AM111" si="96">C60-C109</f>
        <v>194177650</v>
      </c>
      <c r="D111" s="55">
        <f t="shared" si="96"/>
        <v>212368550</v>
      </c>
      <c r="E111" s="55">
        <f t="shared" si="96"/>
        <v>223306650</v>
      </c>
      <c r="F111" s="56">
        <f t="shared" si="96"/>
        <v>218944450</v>
      </c>
      <c r="G111" s="55">
        <f t="shared" si="96"/>
        <v>51593550</v>
      </c>
      <c r="H111" s="55">
        <f t="shared" si="96"/>
        <v>53226250</v>
      </c>
      <c r="I111" s="55">
        <f t="shared" si="96"/>
        <v>115643250</v>
      </c>
      <c r="J111" s="55">
        <f t="shared" si="96"/>
        <v>112781250</v>
      </c>
      <c r="K111" s="55">
        <f t="shared" si="96"/>
        <v>60720250</v>
      </c>
      <c r="L111" s="55">
        <f t="shared" si="96"/>
        <v>59038495.479685172</v>
      </c>
      <c r="M111" s="55">
        <f t="shared" si="96"/>
        <v>72336004.520314828</v>
      </c>
      <c r="N111" s="55">
        <f t="shared" si="96"/>
        <v>55989250</v>
      </c>
      <c r="O111" s="55">
        <f t="shared" si="96"/>
        <v>106184250</v>
      </c>
      <c r="P111" s="55">
        <f t="shared" si="96"/>
        <v>51437250</v>
      </c>
      <c r="Q111" s="55">
        <f t="shared" si="96"/>
        <v>102881250</v>
      </c>
      <c r="R111" s="55">
        <f t="shared" si="96"/>
        <v>99279250</v>
      </c>
      <c r="S111" s="55">
        <f t="shared" si="96"/>
        <v>98121250</v>
      </c>
      <c r="T111" s="55">
        <f t="shared" si="96"/>
        <v>97266250</v>
      </c>
      <c r="U111" s="55">
        <f t="shared" si="96"/>
        <v>51843250</v>
      </c>
      <c r="V111" s="55">
        <f t="shared" si="96"/>
        <v>97187250</v>
      </c>
      <c r="W111" s="55">
        <f t="shared" si="96"/>
        <v>96333250</v>
      </c>
      <c r="X111" s="55">
        <f t="shared" si="96"/>
        <v>93644250</v>
      </c>
      <c r="Y111" s="55">
        <f t="shared" si="96"/>
        <v>92699250</v>
      </c>
      <c r="Z111" s="55">
        <f t="shared" si="96"/>
        <v>128098250</v>
      </c>
      <c r="AA111" s="55">
        <f t="shared" si="96"/>
        <v>58114250</v>
      </c>
      <c r="AB111" s="55">
        <f t="shared" si="96"/>
        <v>88845250</v>
      </c>
      <c r="AC111" s="55">
        <f t="shared" si="96"/>
        <v>86354250</v>
      </c>
      <c r="AD111" s="55">
        <f t="shared" si="96"/>
        <v>92142250</v>
      </c>
      <c r="AE111" s="55">
        <f t="shared" si="96"/>
        <v>57711250</v>
      </c>
      <c r="AF111" s="55">
        <f t="shared" si="96"/>
        <v>96392250</v>
      </c>
      <c r="AG111" s="55">
        <f t="shared" si="96"/>
        <v>137056250</v>
      </c>
      <c r="AH111" s="55">
        <f t="shared" si="96"/>
        <v>106364250</v>
      </c>
      <c r="AI111" s="55">
        <f t="shared" si="96"/>
        <v>149335250</v>
      </c>
      <c r="AJ111" s="55">
        <f t="shared" si="96"/>
        <v>46728250</v>
      </c>
      <c r="AK111" s="55">
        <f t="shared" si="96"/>
        <v>46728250</v>
      </c>
      <c r="AL111" s="55">
        <f t="shared" si="96"/>
        <v>46728250</v>
      </c>
      <c r="AM111" s="55">
        <f t="shared" si="96"/>
        <v>46728250</v>
      </c>
      <c r="AN111" s="55"/>
      <c r="AO111" s="55"/>
      <c r="AP111" s="10">
        <f t="shared" si="87"/>
        <v>46</v>
      </c>
    </row>
    <row r="112" spans="1:43">
      <c r="A112" s="53"/>
      <c r="B112" s="201"/>
      <c r="C112" s="62"/>
      <c r="D112" s="62"/>
      <c r="E112" s="63"/>
      <c r="F112" s="64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>
      <c r="A113" s="6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pans="1:42">
      <c r="A114" s="53"/>
      <c r="B114" s="12"/>
      <c r="C114" s="45">
        <f t="shared" ref="C114:AM114" si="97">C8</f>
        <v>2024</v>
      </c>
      <c r="D114" s="45">
        <f t="shared" si="97"/>
        <v>2025</v>
      </c>
      <c r="E114" s="45">
        <f t="shared" si="97"/>
        <v>2026</v>
      </c>
      <c r="F114" s="45">
        <f t="shared" si="97"/>
        <v>2027</v>
      </c>
      <c r="G114" s="45">
        <f t="shared" si="97"/>
        <v>2028</v>
      </c>
      <c r="H114" s="45">
        <f t="shared" si="97"/>
        <v>2029</v>
      </c>
      <c r="I114" s="45">
        <f t="shared" si="97"/>
        <v>2030</v>
      </c>
      <c r="J114" s="45">
        <f t="shared" si="97"/>
        <v>2031</v>
      </c>
      <c r="K114" s="45">
        <f t="shared" si="97"/>
        <v>2032</v>
      </c>
      <c r="L114" s="45">
        <f t="shared" si="97"/>
        <v>2033</v>
      </c>
      <c r="M114" s="45">
        <f t="shared" si="97"/>
        <v>2034</v>
      </c>
      <c r="N114" s="45">
        <f t="shared" si="97"/>
        <v>2035</v>
      </c>
      <c r="O114" s="45">
        <f t="shared" si="97"/>
        <v>2036</v>
      </c>
      <c r="P114" s="45">
        <f t="shared" si="97"/>
        <v>2037</v>
      </c>
      <c r="Q114" s="45">
        <f t="shared" si="97"/>
        <v>2038</v>
      </c>
      <c r="R114" s="45">
        <f t="shared" si="97"/>
        <v>2039</v>
      </c>
      <c r="S114" s="45">
        <f t="shared" si="97"/>
        <v>2040</v>
      </c>
      <c r="T114" s="45">
        <f t="shared" si="97"/>
        <v>2041</v>
      </c>
      <c r="U114" s="45">
        <f t="shared" si="97"/>
        <v>2042</v>
      </c>
      <c r="V114" s="45">
        <f t="shared" si="97"/>
        <v>2043</v>
      </c>
      <c r="W114" s="45">
        <f t="shared" si="97"/>
        <v>2044</v>
      </c>
      <c r="X114" s="45">
        <f t="shared" si="97"/>
        <v>2045</v>
      </c>
      <c r="Y114" s="45">
        <f t="shared" si="97"/>
        <v>2046</v>
      </c>
      <c r="Z114" s="45">
        <f t="shared" si="97"/>
        <v>2047</v>
      </c>
      <c r="AA114" s="45">
        <f t="shared" si="97"/>
        <v>2048</v>
      </c>
      <c r="AB114" s="45">
        <f t="shared" si="97"/>
        <v>2049</v>
      </c>
      <c r="AC114" s="45">
        <f t="shared" si="97"/>
        <v>2050</v>
      </c>
      <c r="AD114" s="45">
        <f t="shared" si="97"/>
        <v>2051</v>
      </c>
      <c r="AE114" s="45">
        <f t="shared" si="97"/>
        <v>2052</v>
      </c>
      <c r="AF114" s="45">
        <f t="shared" si="97"/>
        <v>2053</v>
      </c>
      <c r="AG114" s="45">
        <f t="shared" si="97"/>
        <v>2054</v>
      </c>
      <c r="AH114" s="45">
        <f t="shared" si="97"/>
        <v>2055</v>
      </c>
      <c r="AI114" s="45">
        <f t="shared" si="97"/>
        <v>2056</v>
      </c>
      <c r="AJ114" s="45">
        <f t="shared" si="97"/>
        <v>2057</v>
      </c>
      <c r="AK114" s="45">
        <f t="shared" si="97"/>
        <v>2058</v>
      </c>
      <c r="AL114" s="45">
        <f t="shared" si="97"/>
        <v>2059</v>
      </c>
      <c r="AM114" s="45">
        <f t="shared" si="97"/>
        <v>2060</v>
      </c>
      <c r="AN114" s="15"/>
      <c r="AO114" s="15"/>
      <c r="AP114" s="10">
        <v>1</v>
      </c>
    </row>
    <row r="115" spans="1:42">
      <c r="A115" t="s">
        <v>12</v>
      </c>
      <c r="B115" s="142"/>
      <c r="C115" s="19">
        <f>IF(C116&gt;15, VLOOKUP(C$129, Assumptions!$A$8:$P$44, Assumptions!$P$1, FALSE), IF(AND(C116&lt;16, C116&gt;10), VLOOKUP(C$129, Assumptions!$A$8:$P$44, Assumptions!$P$1, FALSE)-0.005, VLOOKUP(C$129, Assumptions!$A$8:$P$44, Assumptions!$P$1, FALSE)-0.01))</f>
        <v>5.5E-2</v>
      </c>
      <c r="D115" s="19">
        <f>IF(D116&gt;15, VLOOKUP(D$129, Assumptions!$A$8:$P$44, Assumptions!$P$1, FALSE), IF(AND(D116&lt;16, D116&gt;10), VLOOKUP(D$129, Assumptions!$A$8:$P$44, Assumptions!$P$1, FALSE)-0.005, VLOOKUP(D$129, Assumptions!$A$8:$P$44, Assumptions!$P$1, FALSE)-0.01))</f>
        <v>5.5E-2</v>
      </c>
      <c r="E115" s="19">
        <f>IF(E116&gt;15, VLOOKUP(E$129, Assumptions!$A$8:$P$44, Assumptions!$P$1, FALSE), IF(AND(E116&lt;16, E116&gt;10), VLOOKUP(E$129, Assumptions!$A$8:$P$44, Assumptions!$P$1, FALSE)-0.005, VLOOKUP(E$129, Assumptions!$A$8:$P$44, Assumptions!$P$1, FALSE)-0.01))</f>
        <v>5.5E-2</v>
      </c>
      <c r="F115" s="19">
        <f>IF(F116&gt;15, VLOOKUP(F$129, Assumptions!$A$8:$P$44, Assumptions!$P$1, FALSE), IF(AND(F116&lt;16, F116&gt;10), VLOOKUP(F$129, Assumptions!$A$8:$P$44, Assumptions!$P$1, FALSE)-0.005, VLOOKUP(F$129, Assumptions!$A$8:$P$44, Assumptions!$P$1, FALSE)-0.01))</f>
        <v>5.5E-2</v>
      </c>
      <c r="G115" s="19">
        <f>IF(G116&gt;15, VLOOKUP(G$129, Assumptions!$A$8:$P$44, Assumptions!$P$1, FALSE), IF(AND(G116&lt;16, G116&gt;10), VLOOKUP(G$129, Assumptions!$A$8:$P$44, Assumptions!$P$1, FALSE)-0.005, VLOOKUP(G$129, Assumptions!$A$8:$P$44, Assumptions!$P$1, FALSE)-0.01))</f>
        <v>5.5E-2</v>
      </c>
      <c r="H115" s="19">
        <f>IF(H116&gt;15, VLOOKUP(H$129, Assumptions!$A$8:$P$44, Assumptions!$P$1, FALSE), IF(AND(H116&lt;16, H116&gt;10), VLOOKUP(H$129, Assumptions!$A$8:$P$44, Assumptions!$P$1, FALSE)-0.005, VLOOKUP(H$129, Assumptions!$A$8:$P$44, Assumptions!$P$1, FALSE)-0.01))</f>
        <v>5.5E-2</v>
      </c>
      <c r="I115" s="19">
        <f>IF(I116&gt;15, VLOOKUP(I$129, Assumptions!$A$8:$P$44, Assumptions!$P$1, FALSE), IF(AND(I116&lt;16, I116&gt;10), VLOOKUP(I$129, Assumptions!$A$8:$P$44, Assumptions!$P$1, FALSE)-0.005, VLOOKUP(I$129, Assumptions!$A$8:$P$44, Assumptions!$P$1, FALSE)-0.01))</f>
        <v>5.5E-2</v>
      </c>
      <c r="J115" s="19">
        <f>IF(J116&gt;15, VLOOKUP(J$129, Assumptions!$A$8:$P$44, Assumptions!$P$1, FALSE), IF(AND(J116&lt;16, J116&gt;10), VLOOKUP(J$129, Assumptions!$A$8:$P$44, Assumptions!$P$1, FALSE)-0.005, VLOOKUP(J$129, Assumptions!$A$8:$P$44, Assumptions!$P$1, FALSE)-0.01))</f>
        <v>5.5E-2</v>
      </c>
      <c r="K115" s="19">
        <f>IF(K116&gt;15, VLOOKUP(K$129, Assumptions!$A$8:$P$44, Assumptions!$P$1, FALSE), IF(AND(K116&lt;16, K116&gt;10), VLOOKUP(K$129, Assumptions!$A$8:$P$44, Assumptions!$P$1, FALSE)-0.005, VLOOKUP(K$129, Assumptions!$A$8:$P$44, Assumptions!$P$1, FALSE)-0.01))</f>
        <v>5.5E-2</v>
      </c>
      <c r="L115" s="19">
        <f>IF(L116&gt;15, VLOOKUP(L$129, Assumptions!$A$8:$P$44, Assumptions!$P$1, FALSE), IF(AND(L116&lt;16, L116&gt;10), VLOOKUP(L$129, Assumptions!$A$8:$P$44, Assumptions!$P$1, FALSE)-0.005, VLOOKUP(L$129, Assumptions!$A$8:$P$44, Assumptions!$P$1, FALSE)-0.01))</f>
        <v>5.5E-2</v>
      </c>
      <c r="M115" s="19">
        <f>IF(M116&gt;15, VLOOKUP(M$129, Assumptions!$A$8:$P$44, Assumptions!$P$1, FALSE), IF(AND(M116&lt;16, M116&gt;10), VLOOKUP(M$129, Assumptions!$A$8:$P$44, Assumptions!$P$1, FALSE)-0.005, VLOOKUP(M$129, Assumptions!$A$8:$P$44, Assumptions!$P$1, FALSE)-0.01))</f>
        <v>5.5E-2</v>
      </c>
      <c r="N115" s="19">
        <f>IF(N116&gt;15, VLOOKUP(N$129, Assumptions!$A$8:$P$44, Assumptions!$P$1, FALSE), IF(AND(N116&lt;16, N116&gt;10), VLOOKUP(N$129, Assumptions!$A$8:$P$44, Assumptions!$P$1, FALSE)-0.005, VLOOKUP(N$129, Assumptions!$A$8:$P$44, Assumptions!$P$1, FALSE)-0.01))</f>
        <v>5.5E-2</v>
      </c>
      <c r="O115" s="19">
        <f>IF(O116&gt;15, VLOOKUP(O$129, Assumptions!$A$8:$P$44, Assumptions!$P$1, FALSE), IF(AND(O116&lt;16, O116&gt;10), VLOOKUP(O$129, Assumptions!$A$8:$P$44, Assumptions!$P$1, FALSE)-0.005, VLOOKUP(O$129, Assumptions!$A$8:$P$44, Assumptions!$P$1, FALSE)-0.01))</f>
        <v>5.5E-2</v>
      </c>
      <c r="P115" s="19">
        <f>IF(P116&gt;15, VLOOKUP(P$129, Assumptions!$A$8:$P$44, Assumptions!$P$1, FALSE), IF(AND(P116&lt;16, P116&gt;10), VLOOKUP(P$129, Assumptions!$A$8:$P$44, Assumptions!$P$1, FALSE)-0.005, VLOOKUP(P$129, Assumptions!$A$8:$P$44, Assumptions!$P$1, FALSE)-0.01))</f>
        <v>5.5E-2</v>
      </c>
      <c r="Q115" s="19">
        <f>IF(Q116&gt;15, VLOOKUP(Q$129, Assumptions!$A$8:$P$44, Assumptions!$P$1, FALSE), IF(AND(Q116&lt;16, Q116&gt;10), VLOOKUP(Q$129, Assumptions!$A$8:$P$44, Assumptions!$P$1, FALSE)-0.005, VLOOKUP(Q$129, Assumptions!$A$8:$P$44, Assumptions!$P$1, FALSE)-0.01))</f>
        <v>5.5E-2</v>
      </c>
      <c r="R115" s="19">
        <f>IF(R116&gt;15, VLOOKUP(R$129, Assumptions!$A$8:$P$44, Assumptions!$P$1, FALSE), IF(AND(R116&lt;16, R116&gt;10), VLOOKUP(R$129, Assumptions!$A$8:$P$44, Assumptions!$P$1, FALSE)-0.005, VLOOKUP(R$129, Assumptions!$A$8:$P$44, Assumptions!$P$1, FALSE)-0.01))</f>
        <v>5.5E-2</v>
      </c>
      <c r="S115" s="19">
        <f>IF(S116&gt;15, VLOOKUP(S$129, Assumptions!$A$8:$P$44, Assumptions!$P$1, FALSE), IF(AND(S116&lt;16, S116&gt;10), VLOOKUP(S$129, Assumptions!$A$8:$P$44, Assumptions!$P$1, FALSE)-0.005, VLOOKUP(S$129, Assumptions!$A$8:$P$44, Assumptions!$P$1, FALSE)-0.01))</f>
        <v>5.5E-2</v>
      </c>
      <c r="T115" s="19">
        <f>IF(T116&gt;15, VLOOKUP(T$129, Assumptions!$A$8:$P$44, Assumptions!$P$1, FALSE), IF(AND(T116&lt;16, T116&gt;10), VLOOKUP(T$129, Assumptions!$A$8:$P$44, Assumptions!$P$1, FALSE)-0.005, VLOOKUP(T$129, Assumptions!$A$8:$P$44, Assumptions!$P$1, FALSE)-0.01))</f>
        <v>5.5E-2</v>
      </c>
      <c r="U115" s="19">
        <f>IF(U116&gt;15, VLOOKUP(U$129, Assumptions!$A$8:$P$44, Assumptions!$P$1, FALSE), IF(AND(U116&lt;16, U116&gt;10), VLOOKUP(U$129, Assumptions!$A$8:$P$44, Assumptions!$P$1, FALSE)-0.005, VLOOKUP(U$129, Assumptions!$A$8:$P$44, Assumptions!$P$1, FALSE)-0.01))</f>
        <v>0.05</v>
      </c>
      <c r="V115" s="19">
        <f>IF(V116&gt;15, VLOOKUP(V$129, Assumptions!$A$8:$P$44, Assumptions!$P$1, FALSE), IF(AND(V116&lt;16, V116&gt;10), VLOOKUP(V$129, Assumptions!$A$8:$P$44, Assumptions!$P$1, FALSE)-0.005, VLOOKUP(V$129, Assumptions!$A$8:$P$44, Assumptions!$P$1, FALSE)-0.01))</f>
        <v>0.05</v>
      </c>
      <c r="W115" s="19">
        <f>IF(W116&gt;15, VLOOKUP(W$129, Assumptions!$A$8:$P$44, Assumptions!$P$1, FALSE), IF(AND(W116&lt;16, W116&gt;10), VLOOKUP(W$129, Assumptions!$A$8:$P$44, Assumptions!$P$1, FALSE)-0.005, VLOOKUP(W$129, Assumptions!$A$8:$P$44, Assumptions!$P$1, FALSE)-0.01))</f>
        <v>0.05</v>
      </c>
      <c r="X115" s="19">
        <f>IF(X116&gt;15, VLOOKUP(X$129, Assumptions!$A$8:$P$44, Assumptions!$P$1, FALSE), IF(AND(X116&lt;16, X116&gt;10), VLOOKUP(X$129, Assumptions!$A$8:$P$44, Assumptions!$P$1, FALSE)-0.005, VLOOKUP(X$129, Assumptions!$A$8:$P$44, Assumptions!$P$1, FALSE)-0.01))</f>
        <v>0.05</v>
      </c>
      <c r="Y115" s="19">
        <f>IF(Y116&gt;15, VLOOKUP(Y$129, Assumptions!$A$8:$P$44, Assumptions!$P$1, FALSE), IF(AND(Y116&lt;16, Y116&gt;10), VLOOKUP(Y$129, Assumptions!$A$8:$P$44, Assumptions!$P$1, FALSE)-0.005, VLOOKUP(Y$129, Assumptions!$A$8:$P$44, Assumptions!$P$1, FALSE)-0.01))</f>
        <v>0.05</v>
      </c>
      <c r="Z115" s="19">
        <f>IF(Z116&gt;15, VLOOKUP(Z$129, Assumptions!$A$8:$P$44, Assumptions!$P$1, FALSE), IF(AND(Z116&lt;16, Z116&gt;10), VLOOKUP(Z$129, Assumptions!$A$8:$P$44, Assumptions!$P$1, FALSE)-0.005, VLOOKUP(Z$129, Assumptions!$A$8:$P$44, Assumptions!$P$1, FALSE)-0.01))</f>
        <v>4.4999999999999998E-2</v>
      </c>
      <c r="AA115" s="19">
        <f>IF(AA116&gt;15, VLOOKUP(AA$129, Assumptions!$A$8:$P$44, Assumptions!$P$1, FALSE), IF(AND(AA116&lt;16, AA116&gt;10), VLOOKUP(AA$129, Assumptions!$A$8:$P$44, Assumptions!$P$1, FALSE)-0.005, VLOOKUP(AA$129, Assumptions!$A$8:$P$44, Assumptions!$P$1, FALSE)-0.01))</f>
        <v>4.4999999999999998E-2</v>
      </c>
      <c r="AB115" s="19">
        <f>IF(AB116&gt;15, VLOOKUP(AB$129, Assumptions!$A$8:$P$44, Assumptions!$P$1, FALSE), IF(AND(AB116&lt;16, AB116&gt;10), VLOOKUP(AB$129, Assumptions!$A$8:$P$44, Assumptions!$P$1, FALSE)-0.005, VLOOKUP(AB$129, Assumptions!$A$8:$P$44, Assumptions!$P$1, FALSE)-0.01))</f>
        <v>4.4999999999999998E-2</v>
      </c>
      <c r="AC115" s="19">
        <f>IF(AC116&gt;15, VLOOKUP(AC$129, Assumptions!$A$8:$P$44, Assumptions!$P$1, FALSE), IF(AND(AC116&lt;16, AC116&gt;10), VLOOKUP(AC$129, Assumptions!$A$8:$P$44, Assumptions!$P$1, FALSE)-0.005, VLOOKUP(AC$129, Assumptions!$A$8:$P$44, Assumptions!$P$1, FALSE)-0.01))</f>
        <v>4.4999999999999998E-2</v>
      </c>
      <c r="AD115" s="19">
        <f>IF(AD116&gt;15, VLOOKUP(AD$129, Assumptions!$A$8:$P$44, Assumptions!$P$1, FALSE), IF(AND(AD116&lt;16, AD116&gt;10), VLOOKUP(AD$129, Assumptions!$A$8:$P$44, Assumptions!$P$1, FALSE)-0.005, VLOOKUP(AD$129, Assumptions!$A$8:$P$44, Assumptions!$P$1, FALSE)-0.01))</f>
        <v>4.4999999999999998E-2</v>
      </c>
      <c r="AE115" s="19">
        <f>IF(AE116&gt;15, VLOOKUP(AE$129, Assumptions!$A$8:$P$44, Assumptions!$P$1, FALSE), IF(AND(AE116&lt;16, AE116&gt;10), VLOOKUP(AE$129, Assumptions!$A$8:$P$44, Assumptions!$P$1, FALSE)-0.005, VLOOKUP(AE$129, Assumptions!$A$8:$P$44, Assumptions!$P$1, FALSE)-0.01))</f>
        <v>4.4999999999999998E-2</v>
      </c>
      <c r="AF115" s="19">
        <f>IF(AF116&gt;15, VLOOKUP(AF$129, Assumptions!$A$8:$P$44, Assumptions!$P$1, FALSE), IF(AND(AF116&lt;16, AF116&gt;10), VLOOKUP(AF$129, Assumptions!$A$8:$P$44, Assumptions!$P$1, FALSE)-0.005, VLOOKUP(AF$129, Assumptions!$A$8:$P$44, Assumptions!$P$1, FALSE)-0.01))</f>
        <v>4.4999999999999998E-2</v>
      </c>
      <c r="AG115" s="19">
        <f>IF(AG116&gt;15, VLOOKUP(AG$129, Assumptions!$A$8:$P$44, Assumptions!$P$1, FALSE), IF(AND(AG116&lt;16, AG116&gt;10), VLOOKUP(AG$129, Assumptions!$A$8:$P$44, Assumptions!$P$1, FALSE)-0.005, VLOOKUP(AG$129, Assumptions!$A$8:$P$44, Assumptions!$P$1, FALSE)-0.01))</f>
        <v>4.4999999999999998E-2</v>
      </c>
      <c r="AH115" s="19">
        <f>IF(AH116&gt;15, VLOOKUP(AH$129, Assumptions!$A$8:$P$44, Assumptions!$P$1, FALSE), IF(AND(AH116&lt;16, AH116&gt;10), VLOOKUP(AH$129, Assumptions!$A$8:$P$44, Assumptions!$P$1, FALSE)-0.005, VLOOKUP(AH$129, Assumptions!$A$8:$P$44, Assumptions!$P$1, FALSE)-0.01))</f>
        <v>4.4999999999999998E-2</v>
      </c>
      <c r="AI115" s="19">
        <f>IF(AI116&gt;15, VLOOKUP(AI$129, Assumptions!$A$8:$P$44, Assumptions!$P$1, FALSE), IF(AND(AI116&lt;16, AI116&gt;10), VLOOKUP(AI$129, Assumptions!$A$8:$P$44, Assumptions!$P$1, FALSE)-0.005, VLOOKUP(AI$129, Assumptions!$A$8:$P$44, Assumptions!$P$1, FALSE)-0.01))</f>
        <v>4.4999999999999998E-2</v>
      </c>
      <c r="AJ115" s="19">
        <f>IF(AJ116&gt;15, VLOOKUP(AJ$129, Assumptions!$A$8:$P$44, Assumptions!$P$1, FALSE), IF(AND(AJ116&lt;16, AJ116&gt;10), VLOOKUP(AJ$129, Assumptions!$A$8:$P$44, Assumptions!$P$1, FALSE)-0.005, VLOOKUP(AJ$129, Assumptions!$A$8:$P$44, Assumptions!$P$1, FALSE)-0.01))</f>
        <v>4.4999999999999998E-2</v>
      </c>
      <c r="AK115" s="19">
        <f>IF(AK116&gt;15, VLOOKUP(AK$129, Assumptions!$A$8:$P$44, Assumptions!$P$1, FALSE), IF(AND(AK116&lt;16, AK116&gt;10), VLOOKUP(AK$129, Assumptions!$A$8:$P$44, Assumptions!$P$1, FALSE)-0.005, VLOOKUP(AK$129, Assumptions!$A$8:$P$44, Assumptions!$P$1, FALSE)-0.01))</f>
        <v>4.4999999999999998E-2</v>
      </c>
      <c r="AL115" s="19">
        <f>IF(AL116&gt;15, VLOOKUP(AL$129, Assumptions!$A$8:$P$44, Assumptions!$P$1, FALSE), IF(AND(AL116&lt;16, AL116&gt;10), VLOOKUP(AL$129, Assumptions!$A$8:$P$44, Assumptions!$P$1, FALSE)-0.005, VLOOKUP(AL$129, Assumptions!$A$8:$P$44, Assumptions!$P$1, FALSE)-0.01))</f>
        <v>4.4999999999999998E-2</v>
      </c>
      <c r="AM115" s="19">
        <f>IF(AM116&gt;15, VLOOKUP(AM$129, Assumptions!$A$8:$P$44, Assumptions!$P$1, FALSE), IF(AND(AM116&lt;16, AM116&gt;10), VLOOKUP(AM$129, Assumptions!$A$8:$P$44, Assumptions!$P$1, FALSE)-0.005, VLOOKUP(AM$129, Assumptions!$A$8:$P$44, Assumptions!$P$1, FALSE)-0.01))</f>
        <v>4.4999999999999998E-2</v>
      </c>
      <c r="AP115" s="10">
        <f>AP114+1</f>
        <v>2</v>
      </c>
    </row>
    <row r="116" spans="1:42">
      <c r="A116" s="68" t="s">
        <v>97</v>
      </c>
      <c r="B116" s="53"/>
      <c r="C116" s="53">
        <f t="shared" ref="C116:S116" si="98">IF(C114=$A$5,0, IF(C114&gt;$A$5, 0, MIN(D116+1, 20)))</f>
        <v>20</v>
      </c>
      <c r="D116" s="53">
        <f t="shared" si="98"/>
        <v>20</v>
      </c>
      <c r="E116" s="53">
        <f t="shared" si="98"/>
        <v>20</v>
      </c>
      <c r="F116" s="53">
        <f t="shared" si="98"/>
        <v>20</v>
      </c>
      <c r="G116" s="53">
        <f t="shared" si="98"/>
        <v>20</v>
      </c>
      <c r="H116" s="53">
        <f t="shared" si="98"/>
        <v>20</v>
      </c>
      <c r="I116" s="53">
        <f t="shared" si="98"/>
        <v>20</v>
      </c>
      <c r="J116" s="53">
        <f t="shared" si="98"/>
        <v>20</v>
      </c>
      <c r="K116" s="53">
        <f t="shared" si="98"/>
        <v>20</v>
      </c>
      <c r="L116" s="53">
        <f t="shared" si="98"/>
        <v>20</v>
      </c>
      <c r="M116" s="53">
        <f t="shared" si="98"/>
        <v>20</v>
      </c>
      <c r="N116" s="53">
        <f t="shared" si="98"/>
        <v>20</v>
      </c>
      <c r="O116" s="53">
        <f t="shared" si="98"/>
        <v>20</v>
      </c>
      <c r="P116" s="53">
        <f t="shared" si="98"/>
        <v>20</v>
      </c>
      <c r="Q116" s="53">
        <f t="shared" si="98"/>
        <v>19</v>
      </c>
      <c r="R116" s="53">
        <f t="shared" si="98"/>
        <v>18</v>
      </c>
      <c r="S116" s="53">
        <f t="shared" si="98"/>
        <v>17</v>
      </c>
      <c r="T116" s="53">
        <f t="shared" ref="T116:AC116" si="99">IF(T114=$A$5,0, IF(T114&gt;$A$5, 0, MIN(U116+1, 20)))</f>
        <v>16</v>
      </c>
      <c r="U116" s="53">
        <f t="shared" si="99"/>
        <v>15</v>
      </c>
      <c r="V116" s="53">
        <f t="shared" si="99"/>
        <v>14</v>
      </c>
      <c r="W116" s="53">
        <f t="shared" si="99"/>
        <v>13</v>
      </c>
      <c r="X116" s="53">
        <f t="shared" si="99"/>
        <v>12</v>
      </c>
      <c r="Y116" s="53">
        <f t="shared" si="99"/>
        <v>11</v>
      </c>
      <c r="Z116" s="53">
        <f t="shared" si="99"/>
        <v>10</v>
      </c>
      <c r="AA116" s="53">
        <f t="shared" si="99"/>
        <v>9</v>
      </c>
      <c r="AB116" s="53">
        <f t="shared" si="99"/>
        <v>8</v>
      </c>
      <c r="AC116" s="53">
        <f t="shared" si="99"/>
        <v>7</v>
      </c>
      <c r="AD116" s="53">
        <f t="shared" ref="AD116:AF116" si="100">IF(AD114=$A$5,0, IF(AD114&gt;$A$5, 0, MIN(AE116+1, 20)))</f>
        <v>6</v>
      </c>
      <c r="AE116" s="53">
        <f t="shared" si="100"/>
        <v>5</v>
      </c>
      <c r="AF116" s="53">
        <f t="shared" si="100"/>
        <v>4</v>
      </c>
      <c r="AG116" s="53">
        <f>IF(AG114=$A$5,0, IF(AG114&gt;$A$5, 0, MIN(AH116+1, 20)))</f>
        <v>3</v>
      </c>
      <c r="AH116" s="53">
        <f t="shared" ref="AH116:AL116" si="101">IF(AH114=$A$5,0, IF(AH114&gt;$A$5, 0, MIN(AI116+1, 20)))</f>
        <v>2</v>
      </c>
      <c r="AI116" s="53">
        <f t="shared" si="101"/>
        <v>1</v>
      </c>
      <c r="AJ116" s="53">
        <f t="shared" si="101"/>
        <v>0</v>
      </c>
      <c r="AK116" s="53">
        <f t="shared" si="101"/>
        <v>0</v>
      </c>
      <c r="AL116" s="53">
        <f t="shared" si="101"/>
        <v>0</v>
      </c>
      <c r="AM116" s="53">
        <f>IF(AM114=$A$5,0, IF(AM114&gt;$A$5, 0, MIN(#REF!+1, 20)))</f>
        <v>0</v>
      </c>
      <c r="AP116" s="10">
        <f t="shared" ref="AP116:AP126" si="102">AP115+1</f>
        <v>3</v>
      </c>
    </row>
    <row r="117" spans="1:42" outlineLevel="1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P117" s="10">
        <f t="shared" si="102"/>
        <v>4</v>
      </c>
    </row>
    <row r="118" spans="1:42" outlineLevel="1">
      <c r="A118" t="s">
        <v>48</v>
      </c>
      <c r="B118" s="46"/>
      <c r="C118" s="46">
        <f>IF(C$114+1&gt;$A$5, 0, MAX(0,  MIN( (C$111-50000000), (C$111-50000000)+VLOOKUP(D$129, $A$10:B$47, B$1, FALSE) -D$109)))</f>
        <v>144177650</v>
      </c>
      <c r="D118" s="46">
        <f>IF(D$114+1&gt;$A$5, 0, MAX(0,  MIN( (D$111-50000000), (D$111-50000000)+VLOOKUP(E$129, $A$10:C$47, C$1, FALSE) -E$109)))</f>
        <v>162368550</v>
      </c>
      <c r="E118" s="46">
        <f>IF(E$114+1&gt;$A$5, 0, MAX(0,  MIN( (E$111-50000000), (E$111-50000000)+VLOOKUP(F$129, $A$10:D$47, D$1, FALSE) -F$109)))</f>
        <v>173306650</v>
      </c>
      <c r="F118" s="46">
        <f>IF(F$114+1&gt;$A$5, 0, MAX(0,  MIN( (F$111-50000000), (F$111-50000000)+VLOOKUP(G$129, $A$10:E$47, E$1, FALSE) -G$109)))</f>
        <v>54734550</v>
      </c>
      <c r="G118" s="46">
        <f>IF(G$114+1&gt;$A$5, 0, MAX(0,  MIN( (G$111-50000000), (G$111-50000000)+VLOOKUP(H$129, $A$10:F$47, F$1, FALSE) -H$109)))</f>
        <v>1593550</v>
      </c>
      <c r="H118" s="46">
        <f>IF(H$114+1&gt;$A$5, 0, MAX(0,  MIN( (H$111-50000000), (H$111-50000000)+VLOOKUP(I$129, $A$10:G$47, G$1, FALSE) -I$109)))</f>
        <v>3226250</v>
      </c>
      <c r="I118" s="46">
        <f>IF(I$114+1&gt;$A$5, 0, MAX(0,  MIN( (I$111-50000000), (I$111-50000000)+VLOOKUP(J$129, $A$10:H$47, H$1, FALSE) -J$109)))</f>
        <v>65643250</v>
      </c>
      <c r="J118" s="46">
        <f>IF(J$114+1&gt;$A$5, 0, MAX(0,  MIN( (J$111-50000000), (J$111-50000000)+VLOOKUP(K$129, $A$10:I$47, I$1, FALSE) -K$109)))</f>
        <v>10720250</v>
      </c>
      <c r="K118" s="46">
        <f>IF(K$114+1&gt;$A$5, 0, MAX(0,  MIN( (K$111-50000000), (K$111-50000000)+VLOOKUP(L$129, $A$10:J$47, J$1, FALSE) -L$109)))</f>
        <v>9038495.4796851724</v>
      </c>
      <c r="L118" s="46">
        <f>IF(L$114+1&gt;$A$5, 0, MAX(0,  MIN( (L$111-50000000), (L$111-50000000)+VLOOKUP(M$129, $A$10:K$47, K$1, FALSE) -M$109)))</f>
        <v>9038495.4796851724</v>
      </c>
      <c r="M118" s="46">
        <f>IF(M$114+1&gt;$A$5, 0, MAX(0,  MIN( (M$111-50000000), (M$111-50000000)+VLOOKUP(N$129, $A$10:L$47, L$1, FALSE) -N$109)))</f>
        <v>22336004.520314828</v>
      </c>
      <c r="N118" s="46">
        <f>IF(N$114+1&gt;$A$5, 0, MAX(0,  MIN( (N$111-50000000), (N$111-50000000)+VLOOKUP(O$129, $A$10:M$47, M$1, FALSE) -O$109)))</f>
        <v>5989250</v>
      </c>
      <c r="O118" s="46">
        <f>IF(O$114+1&gt;$A$5, 0, MAX(0,  MIN( (O$111-50000000), (O$111-50000000)+VLOOKUP(P$129, $A$10:N$47, N$1, FALSE) -P$109)))</f>
        <v>50120250</v>
      </c>
      <c r="P118" s="46">
        <f>IF(P$114+1&gt;$A$5, 0, MAX(0,  MIN( (P$111-50000000), (P$111-50000000)+VLOOKUP(Q$129, $A$10:O$47, O$1, FALSE) -Q$109)))</f>
        <v>1437250</v>
      </c>
      <c r="Q118" s="46">
        <f>IF(Q$114+1&gt;$A$5, 0, MAX(0,  MIN( (Q$111-50000000), (Q$111-50000000)+VLOOKUP(R$129, $A$10:P$47, P$1, FALSE) -R$109)))</f>
        <v>52881250</v>
      </c>
      <c r="R118" s="46">
        <f>IF(R$114+1&gt;$A$5, 0, MAX(0,  MIN( (R$111-50000000), (R$111-50000000)+VLOOKUP(S$129, $A$10:Q$47, Q$1, FALSE) -S$109)))</f>
        <v>49279250</v>
      </c>
      <c r="S118" s="46">
        <f>IF(S$114+1&gt;$A$5, 0, MAX(0,  MIN( (S$111-50000000), (S$111-50000000)+VLOOKUP(T$129, $A$10:R$47, R$1, FALSE) -T$109)))</f>
        <v>48121250</v>
      </c>
      <c r="T118" s="46">
        <f>IF(T$114+1&gt;$A$5, 0, MAX(0,  MIN( (T$111-50000000), (T$111-50000000)+VLOOKUP(U$129, $A$10:S$47, S$1, FALSE) -U$109)))</f>
        <v>45434250</v>
      </c>
      <c r="U118" s="46">
        <f>IF(U$114+1&gt;$A$5, 0, MAX(0,  MIN( (U$111-50000000), (U$111-50000000)+VLOOKUP(V$129, $A$10:T$47, T$1, FALSE) -V$109)))</f>
        <v>1843250</v>
      </c>
      <c r="V118" s="46">
        <f>IF(V$114+1&gt;$A$5, 0, MAX(0,  MIN( (V$111-50000000), (V$111-50000000)+VLOOKUP(W$129, $A$10:U$47, U$1, FALSE) -W$109)))</f>
        <v>47187250</v>
      </c>
      <c r="W118" s="46">
        <f>IF(W$114+1&gt;$A$5, 0, MAX(0,  MIN( (W$111-50000000), (W$111-50000000)+VLOOKUP(X$129, $A$10:V$47, V$1, FALSE) -X$109)))</f>
        <v>46333250</v>
      </c>
      <c r="X118" s="46">
        <f>IF(X$114+1&gt;$A$5, 0, MAX(0,  MIN( (X$111-50000000), (X$111-50000000)+VLOOKUP(Y$129, $A$10:W$47, W$1, FALSE) -Y$109)))</f>
        <v>43644250</v>
      </c>
      <c r="Y118" s="46">
        <f>IF(Y$114+1&gt;$A$5, 0, MAX(0,  MIN( (Y$111-50000000), (Y$111-50000000)+VLOOKUP(Z$129, $A$10:X$47, X$1, FALSE) -Z$109)))</f>
        <v>42699250</v>
      </c>
      <c r="Z118" s="46">
        <f>IF(Z$114+1&gt;$A$5, 0, MAX(0,  MIN( (Z$111-50000000), (Z$111-50000000)+VLOOKUP(AA$129, $A$10:Y$47, Y$1, FALSE) -AA$109)))</f>
        <v>8114250</v>
      </c>
      <c r="AA118" s="46">
        <f>IF(AA$114+1&gt;$A$5, 0, MAX(0,  MIN( (AA$111-50000000), (AA$111-50000000)+VLOOKUP(AB$129, $A$10:Z$47, Z$1, FALSE) -AB$109)))</f>
        <v>8114250</v>
      </c>
      <c r="AB118" s="46">
        <f>IF(AB$114+1&gt;$A$5, 0, MAX(0,  MIN( (AB$111-50000000), (AB$111-50000000)+VLOOKUP(AC$129, $A$10:AA$47, AA$1, FALSE) -AC$109)))</f>
        <v>38845250</v>
      </c>
      <c r="AC118" s="46">
        <f>IF(AC$114+1&gt;$A$5, 0, MAX(0,  MIN( (AC$111-50000000), (AC$111-50000000)+VLOOKUP(AD$129, $A$10:AB$47, AB$1, FALSE) -AD$109)))</f>
        <v>36354250</v>
      </c>
      <c r="AD118" s="46">
        <f>IF(AD$114+1&gt;$A$5, 0, MAX(0,  MIN( (AD$111-50000000), (AD$111-50000000)+VLOOKUP(AE$129, $A$10:AC$47, AC$1, FALSE) -AE$109)))</f>
        <v>7711250</v>
      </c>
      <c r="AE118" s="46">
        <f>IF(AE$114+1&gt;$A$5, 0, MAX(0,  MIN( (AE$111-50000000), (AE$111-50000000)+VLOOKUP(AF$129, $A$10:AD$47, AD$1, FALSE) -AF$109)))</f>
        <v>7711250</v>
      </c>
      <c r="AF118" s="46">
        <f>IF(AF$114+1&gt;$A$5, 0, MAX(0,  MIN( (AF$111-50000000), (AF$111-50000000)+VLOOKUP(AG$129, $A$10:AE$47, AE$1, FALSE) -AG$109)))</f>
        <v>46392250</v>
      </c>
      <c r="AG118" s="46">
        <f>IF(AG$114+1&gt;$A$5, 0, MAX(0,  MIN( (AG$111-50000000), (AG$111-50000000)+VLOOKUP(AH$129, $A$10:AF$47, AF$1, FALSE) -AH$109)))</f>
        <v>56364250</v>
      </c>
      <c r="AH118" s="46">
        <f>IF(AH$114+1&gt;$A$5, 0, MAX(0,  MIN( (AH$111-50000000), (AH$111-50000000)+VLOOKUP(AI$129, $A$10:AG$47, AG$1, FALSE) -AI$109)))</f>
        <v>56364250</v>
      </c>
      <c r="AI118" s="46">
        <f>IF(AI$114+1&gt;$A$5, 0, MAX(0,  MIN( (AI$111-50000000), (AI$111-50000000)+VLOOKUP(AJ$129, $A$10:AH$47, AH$1, FALSE) -AJ$109)))</f>
        <v>0</v>
      </c>
      <c r="AJ118" s="46">
        <f>IF(AJ$114+1&gt;$A$5, 0, MAX(0,  MIN( (AJ$111-50000000), (AJ$111-50000000)+VLOOKUP(AK$129, $A$10:AI$47, AI$1, FALSE) -AK$109)))</f>
        <v>0</v>
      </c>
      <c r="AK118" s="46">
        <f>IF(AK$114+1&gt;$A$5, 0, MAX(0,  MIN( (AK$111-50000000), (AK$111-50000000)+VLOOKUP(AL$129, $A$10:AJ$47, AJ$1, FALSE) -AL$109)))</f>
        <v>0</v>
      </c>
      <c r="AL118" s="46">
        <f>IF(AL$114+1&gt;$A$5, 0, MAX(0,  MIN( (AL$111-50000000), (AL$111-50000000)+VLOOKUP(AM$129, $A$10:AK$47, AK$1, FALSE) -AM$109)))</f>
        <v>0</v>
      </c>
      <c r="AM118" s="46">
        <f>IF(AM$114+1&gt;$A$5, 0, MAX(0,  MIN( (AM$111-50000000), (AM$111-50000000)+VLOOKUP(#REF!, $A$10:AL$47, AL$1, FALSE) -#REF!)))</f>
        <v>0</v>
      </c>
      <c r="AP118" s="10">
        <f t="shared" si="102"/>
        <v>5</v>
      </c>
    </row>
    <row r="119" spans="1:42" outlineLevel="1">
      <c r="A119" t="s">
        <v>49</v>
      </c>
      <c r="B119" s="46"/>
      <c r="C119" s="46">
        <f>IF(C$114+2&gt;$A$5, 0, MAX(0,  MIN( (C$111-50000000), (C$111-50000000)+VLOOKUP(D$129, $A$10:B$47, B$1, FALSE) +VLOOKUP(E$129, $A$10:B$47, B$1, FALSE)-SUM(D$109:E$109))))</f>
        <v>144177650</v>
      </c>
      <c r="D119" s="46">
        <f>IF(D$114+2&gt;$A$5, 0, MAX(0,  MIN( (D$111-50000000), (D$111-50000000)+VLOOKUP(E$129, $A$10:C$47, C$1, FALSE) +VLOOKUP(F$129, $A$10:C$47, C$1, FALSE)-SUM(E$109:F$109))))</f>
        <v>162368550</v>
      </c>
      <c r="E119" s="46">
        <f>IF(E$114+2&gt;$A$5, 0, MAX(0,  MIN( (E$111-50000000), (E$111-50000000)+VLOOKUP(F$129, $A$10:D$47, D$1, FALSE) +VLOOKUP(G$129, $A$10:D$47, D$1, FALSE)-SUM(F$109:G$109))))</f>
        <v>130019550</v>
      </c>
      <c r="F119" s="46">
        <f>IF(F$114+2&gt;$A$5, 0, MAX(0,  MIN( (F$111-50000000), (F$111-50000000)+VLOOKUP(G$129, $A$10:E$47, E$1, FALSE) +VLOOKUP(H$129, $A$10:E$47, E$1, FALSE)-SUM(G$109:H$109))))</f>
        <v>54712250</v>
      </c>
      <c r="G119" s="46">
        <f>IF(G$114+2&gt;$A$5, 0, MAX(0,  MIN( (G$111-50000000), (G$111-50000000)+VLOOKUP(H$129, $A$10:F$47, F$1, FALSE) +VLOOKUP(I$129, $A$10:F$47, F$1, FALSE)-SUM(H$109:I$109))))</f>
        <v>1593550</v>
      </c>
      <c r="H119" s="46">
        <f>IF(H$114+2&gt;$A$5, 0, MAX(0,  MIN( (H$111-50000000), (H$111-50000000)+VLOOKUP(I$129, $A$10:G$47, G$1, FALSE) +VLOOKUP(J$129, $A$10:G$47, G$1, FALSE)-SUM(I$109:J$109))))</f>
        <v>3226250</v>
      </c>
      <c r="I119" s="46">
        <f>IF(I$114+2&gt;$A$5, 0, MAX(0,  MIN( (I$111-50000000), (I$111-50000000)+VLOOKUP(J$129, $A$10:H$47, H$1, FALSE) +VLOOKUP(K$129, $A$10:H$47, H$1, FALSE)-SUM(J$109:K$109))))</f>
        <v>65643250</v>
      </c>
      <c r="J119" s="46">
        <f>IF(J$114+2&gt;$A$5, 0, MAX(0,  MIN( (J$111-50000000), (J$111-50000000)+VLOOKUP(K$129, $A$10:I$47, I$1, FALSE) +VLOOKUP(L$129, $A$10:I$47, I$1, FALSE)-SUM(K$109:L$109))))</f>
        <v>9038495.4796851873</v>
      </c>
      <c r="K119" s="46">
        <f>IF(K$114+2&gt;$A$5, 0, MAX(0,  MIN( (K$111-50000000), (K$111-50000000)+VLOOKUP(L$129, $A$10:J$47, J$1, FALSE) +VLOOKUP(M$129, $A$10:J$47, J$1, FALSE)-SUM(L$109:M$109))))</f>
        <v>10720250</v>
      </c>
      <c r="L119" s="46">
        <f>IF(L$114+2&gt;$A$5, 0, MAX(0,  MIN( (L$111-50000000), (L$111-50000000)+VLOOKUP(M$129, $A$10:K$47, K$1, FALSE) +VLOOKUP(N$129, $A$10:K$47, K$1, FALSE)-SUM(M$109:N$109))))</f>
        <v>9038495.4796851724</v>
      </c>
      <c r="M119" s="46">
        <f>IF(M$114+2&gt;$A$5, 0, MAX(0,  MIN( (M$111-50000000), (M$111-50000000)+VLOOKUP(N$129, $A$10:L$47, L$1, FALSE) +VLOOKUP(O$129, $A$10:L$47, L$1, FALSE)-SUM(N$109:O$109))))</f>
        <v>22336004.520314828</v>
      </c>
      <c r="N119" s="46">
        <f>IF(N$114+2&gt;$A$5, 0, MAX(0,  MIN( (N$111-50000000), (N$111-50000000)+VLOOKUP(O$129, $A$10:M$47, M$1, FALSE) +VLOOKUP(P$129, $A$10:M$47, M$1, FALSE)-SUM(O$109:P$109))))</f>
        <v>5989250</v>
      </c>
      <c r="O119" s="46">
        <f>IF(O$114+2&gt;$A$5, 0, MAX(0,  MIN( (O$111-50000000), (O$111-50000000)+VLOOKUP(P$129, $A$10:N$47, N$1, FALSE) +VLOOKUP(Q$129, $A$10:N$47, N$1, FALSE)-SUM(P$109:Q$109))))</f>
        <v>56184250</v>
      </c>
      <c r="P119" s="46">
        <f>IF(P$114+2&gt;$A$5, 0, MAX(0,  MIN( (P$111-50000000), (P$111-50000000)+VLOOKUP(Q$129, $A$10:O$47, O$1, FALSE) +VLOOKUP(R$129, $A$10:O$47, O$1, FALSE)-SUM(Q$109:R$109))))</f>
        <v>1437250</v>
      </c>
      <c r="Q119" s="46">
        <f>IF(Q$114+2&gt;$A$5, 0, MAX(0,  MIN( (Q$111-50000000), (Q$111-50000000)+VLOOKUP(R$129, $A$10:P$47, P$1, FALSE) +VLOOKUP(S$129, $A$10:P$47, P$1, FALSE)-SUM(R$109:S$109))))</f>
        <v>52881250</v>
      </c>
      <c r="R119" s="46">
        <f>IF(R$114+2&gt;$A$5, 0, MAX(0,  MIN( (R$111-50000000), (R$111-50000000)+VLOOKUP(S$129, $A$10:Q$47, Q$1, FALSE) +VLOOKUP(T$129, $A$10:Q$47, Q$1, FALSE)-SUM(S$109:T$109))))</f>
        <v>49279250</v>
      </c>
      <c r="S119" s="46">
        <f>IF(S$114+2&gt;$A$5, 0, MAX(0,  MIN( (S$111-50000000), (S$111-50000000)+VLOOKUP(T$129, $A$10:R$47, R$1, FALSE) +VLOOKUP(U$129, $A$10:R$47, R$1, FALSE)-SUM(T$109:U$109))))</f>
        <v>48121250</v>
      </c>
      <c r="T119" s="46">
        <f>IF(T$114+2&gt;$A$5, 0, MAX(0,  MIN( (T$111-50000000), (T$111-50000000)+VLOOKUP(U$129, $A$10:S$47, S$1, FALSE) +VLOOKUP(V$129, $A$10:S$47, S$1, FALSE)-SUM(U$109:V$109))))</f>
        <v>47266250</v>
      </c>
      <c r="U119" s="46">
        <f>IF(U$114+2&gt;$A$5, 0, MAX(0,  MIN( (U$111-50000000), (U$111-50000000)+VLOOKUP(V$129, $A$10:T$47, T$1, FALSE) +VLOOKUP(W$129, $A$10:T$47, T$1, FALSE)-SUM(V$109:W$109))))</f>
        <v>1843250</v>
      </c>
      <c r="V119" s="46">
        <f>IF(V$114+2&gt;$A$5, 0, MAX(0,  MIN( (V$111-50000000), (V$111-50000000)+VLOOKUP(W$129, $A$10:U$47, U$1, FALSE) +VLOOKUP(X$129, $A$10:U$47, U$1, FALSE)-SUM(W$109:X$109))))</f>
        <v>47187250</v>
      </c>
      <c r="W119" s="46">
        <f>IF(W$114+2&gt;$A$5, 0, MAX(0,  MIN( (W$111-50000000), (W$111-50000000)+VLOOKUP(X$129, $A$10:V$47, V$1, FALSE) +VLOOKUP(Y$129, $A$10:V$47, V$1, FALSE)-SUM(X$109:Y$109))))</f>
        <v>46333250</v>
      </c>
      <c r="X119" s="46">
        <f>IF(X$114+2&gt;$A$5, 0, MAX(0,  MIN( (X$111-50000000), (X$111-50000000)+VLOOKUP(Y$129, $A$10:W$47, W$1, FALSE) +VLOOKUP(Z$129, $A$10:W$47, W$1, FALSE)-SUM(Y$109:Z$109))))</f>
        <v>43644250</v>
      </c>
      <c r="Y119" s="46">
        <f>IF(Y$114+2&gt;$A$5, 0, MAX(0,  MIN( (Y$111-50000000), (Y$111-50000000)+VLOOKUP(Z$129, $A$10:X$47, X$1, FALSE) +VLOOKUP(AA$129, $A$10:X$47, X$1, FALSE)-SUM(Z$109:AA$109))))</f>
        <v>8114250</v>
      </c>
      <c r="Z119" s="46">
        <f>IF(Z$114+2&gt;$A$5, 0, MAX(0,  MIN( (Z$111-50000000), (Z$111-50000000)+VLOOKUP(AA$129, $A$10:Y$47, Y$1, FALSE) +VLOOKUP(AB$129, $A$10:Y$47, Y$1, FALSE)-SUM(AA$109:AB$109))))</f>
        <v>38845250</v>
      </c>
      <c r="AA119" s="46">
        <f>IF(AA$114+2&gt;$A$5, 0, MAX(0,  MIN( (AA$111-50000000), (AA$111-50000000)+VLOOKUP(AB$129, $A$10:Z$47, Z$1, FALSE) +VLOOKUP(AC$129, $A$10:Z$47, Z$1, FALSE)-SUM(AB$109:AC$109))))</f>
        <v>8114250</v>
      </c>
      <c r="AB119" s="46">
        <f>IF(AB$114+2&gt;$A$5, 0, MAX(0,  MIN( (AB$111-50000000), (AB$111-50000000)+VLOOKUP(AC$129, $A$10:AA$47, AA$1, FALSE) +VLOOKUP(AD$129, $A$10:AA$47, AA$1, FALSE)-SUM(AC$109:AD$109))))</f>
        <v>38845250</v>
      </c>
      <c r="AC119" s="46">
        <f>IF(AC$114+2&gt;$A$5, 0, MAX(0,  MIN( (AC$111-50000000), (AC$111-50000000)+VLOOKUP(AD$129, $A$10:AB$47, AB$1, FALSE) +VLOOKUP(AE$129, $A$10:AB$47, AB$1, FALSE)-SUM(AD$109:AE$109))))</f>
        <v>30236250</v>
      </c>
      <c r="AD119" s="46">
        <f>IF(AD$114+2&gt;$A$5, 0, MAX(0,  MIN( (AD$111-50000000), (AD$111-50000000)+VLOOKUP(AE$129, $A$10:AC$47, AC$1, FALSE) +VLOOKUP(AF$129, $A$10:AC$47, AC$1, FALSE)-SUM(AE$109:AF$109))))</f>
        <v>42142250</v>
      </c>
      <c r="AE119" s="46">
        <f>IF(AE$114+2&gt;$A$5, 0, MAX(0,  MIN( (AE$111-50000000), (AE$111-50000000)+VLOOKUP(AF$129, $A$10:AD$47, AD$1, FALSE) +VLOOKUP(AG$129, $A$10:AD$47, AD$1, FALSE)-SUM(AF$109:AG$109))))</f>
        <v>7711250</v>
      </c>
      <c r="AF119" s="46">
        <f>IF(AF$114+2&gt;$A$5, 0, MAX(0,  MIN( (AF$111-50000000), (AF$111-50000000)+VLOOKUP(AG$129, $A$10:AE$47, AE$1, FALSE) +VLOOKUP(AH$129, $A$10:AE$47, AE$1, FALSE)-SUM(AG$109:AH$109))))</f>
        <v>46392250</v>
      </c>
      <c r="AG119" s="46">
        <f>IF(AG$114+2&gt;$A$5, 0, MAX(0,  MIN( (AG$111-50000000), (AG$111-50000000)+VLOOKUP(AH$129, $A$10:AF$47, AF$1, FALSE) +VLOOKUP(AI$129, $A$10:AF$47, AF$1, FALSE)-SUM(AH$109:AI$109))))</f>
        <v>87056250</v>
      </c>
      <c r="AH119" s="46">
        <f>IF(AH$114+2&gt;$A$5, 0, MAX(0,  MIN( (AH$111-50000000), (AH$111-50000000)+VLOOKUP(AI$129, $A$10:AG$47, AG$1, FALSE) +VLOOKUP(AJ$129, $A$10:AG$47, AG$1, FALSE)-SUM(AI$109:AJ$109))))</f>
        <v>0</v>
      </c>
      <c r="AI119" s="46">
        <f>IF(AI$114+2&gt;$A$5, 0, MAX(0,  MIN( (AI$111-50000000), (AI$111-50000000)+VLOOKUP(AJ$129, $A$10:AH$47, AH$1, FALSE) +VLOOKUP(AK$129, $A$10:AH$47, AH$1, FALSE)-SUM(AJ$109:AK$109))))</f>
        <v>0</v>
      </c>
      <c r="AJ119" s="46">
        <f>IF(AJ$114+2&gt;$A$5, 0, MAX(0,  MIN( (AJ$111-50000000), (AJ$111-50000000)+VLOOKUP(AK$129, $A$10:AI$47, AI$1, FALSE) +VLOOKUP(AL$129, $A$10:AI$47, AI$1, FALSE)-SUM(AK$109:AL$109))))</f>
        <v>0</v>
      </c>
      <c r="AK119" s="46">
        <f>IF(AK$114+2&gt;$A$5, 0, MAX(0,  MIN( (AK$111-50000000), (AK$111-50000000)+VLOOKUP(AL$129, $A$10:AJ$47, AJ$1, FALSE) +VLOOKUP(AM$129, $A$10:AJ$47, AJ$1, FALSE)-SUM(AL$109:AM$109))))</f>
        <v>0</v>
      </c>
      <c r="AL119" s="46">
        <f>IF(AL$114+2&gt;$A$5, 0, MAX(0,  MIN( (AL$111-50000000), (AL$111-50000000)+VLOOKUP(AM$129, $A$10:AK$47, AK$1, FALSE) +VLOOKUP(#REF!, $A$10:AK$47, AK$1, FALSE)-SUM(AM$109:AM$109))))</f>
        <v>0</v>
      </c>
      <c r="AM119" s="46">
        <f>IF(AM$114+2&gt;$A$5, 0, MAX(0,  MIN( (AM$111-50000000), (AM$111-50000000)+VLOOKUP(#REF!, $A$10:AL$47, AL$1, FALSE) +VLOOKUP(#REF!, $A$10:AL$47, AL$1, FALSE)-SUM(#REF!))))</f>
        <v>0</v>
      </c>
      <c r="AP119" s="10">
        <f t="shared" si="102"/>
        <v>6</v>
      </c>
    </row>
    <row r="120" spans="1:42" outlineLevel="1">
      <c r="A120" t="s">
        <v>50</v>
      </c>
      <c r="B120" s="46"/>
      <c r="C120" s="46">
        <f>IF(C$114+3&gt;$A$5, 0, MAX(0,  MIN( (C$111-50000000), (C$111-50000000)+VLOOKUP(D$129, $A$10:B$47, B$1, FALSE) +VLOOKUP(E$129, $A$10:B$47, B$1, FALSE)+VLOOKUP(F$129, $A$10:B$47, B$1, FALSE)-SUM(D$109:F$109))))</f>
        <v>144177650</v>
      </c>
      <c r="D120" s="46">
        <f>IF(D$114+3&gt;$A$5, 0, MAX(0,  MIN( (D$111-50000000), (D$111-50000000)+VLOOKUP(E$129, $A$10:C$47, C$1, FALSE) +VLOOKUP(F$129, $A$10:C$47, C$1, FALSE)+VLOOKUP(G$129, $A$10:C$47, C$1, FALSE)-SUM(E$109:G$109))))</f>
        <v>162368550</v>
      </c>
      <c r="E120" s="46">
        <f>IF(E$114+3&gt;$A$5, 0, MAX(0,  MIN( (E$111-50000000), (E$111-50000000)+VLOOKUP(F$129, $A$10:D$47, D$1, FALSE) +VLOOKUP(G$129, $A$10:D$47, D$1, FALSE)+VLOOKUP(H$129, $A$10:D$47, D$1, FALSE)-SUM(F$109:H$109))))</f>
        <v>127443250</v>
      </c>
      <c r="F120" s="46">
        <f>IF(F$114+3&gt;$A$5, 0, MAX(0,  MIN( (F$111-50000000), (F$111-50000000)+VLOOKUP(G$129, $A$10:E$47, E$1, FALSE) +VLOOKUP(H$129, $A$10:E$47, E$1, FALSE)+VLOOKUP(I$129, $A$10:E$47, E$1, FALSE)-SUM(G$109:I$109))))</f>
        <v>115383250</v>
      </c>
      <c r="G120" s="46">
        <f>IF(G$114+3&gt;$A$5, 0, MAX(0,  MIN( (G$111-50000000), (G$111-50000000)+VLOOKUP(H$129, $A$10:F$47, F$1, FALSE) +VLOOKUP(I$129, $A$10:F$47, F$1, FALSE)+VLOOKUP(J$129, $A$10:F$47, F$1, FALSE)-SUM(H$109:J$109))))</f>
        <v>1593550</v>
      </c>
      <c r="H120" s="46">
        <f>IF(H$114+3&gt;$A$5, 0, MAX(0,  MIN( (H$111-50000000), (H$111-50000000)+VLOOKUP(I$129, $A$10:G$47, G$1, FALSE) +VLOOKUP(J$129, $A$10:G$47, G$1, FALSE)+VLOOKUP(K$129, $A$10:G$47, G$1, FALSE)-SUM(I$109:K$109))))</f>
        <v>3226250</v>
      </c>
      <c r="I120" s="46">
        <f>IF(I$114+3&gt;$A$5, 0, MAX(0,  MIN( (I$111-50000000), (I$111-50000000)+VLOOKUP(J$129, $A$10:H$47, H$1, FALSE) +VLOOKUP(K$129, $A$10:H$47, H$1, FALSE)+VLOOKUP(L$129, $A$10:H$47, H$1, FALSE)-SUM(J$109:L$109))))</f>
        <v>65643250</v>
      </c>
      <c r="J120" s="46">
        <f>IF(J$114+3&gt;$A$5, 0, MAX(0,  MIN( (J$111-50000000), (J$111-50000000)+VLOOKUP(K$129, $A$10:I$47, I$1, FALSE) +VLOOKUP(L$129, $A$10:I$47, I$1, FALSE)+VLOOKUP(M$129, $A$10:I$47, I$1, FALSE)-SUM(K$109:M$109))))</f>
        <v>22336004.520314842</v>
      </c>
      <c r="K120" s="46">
        <f>IF(K$114+3&gt;$A$5, 0, MAX(0,  MIN( (K$111-50000000), (K$111-50000000)+VLOOKUP(L$129, $A$10:J$47, J$1, FALSE) +VLOOKUP(M$129, $A$10:J$47, J$1, FALSE)+VLOOKUP(N$129, $A$10:J$47, J$1, FALSE)-SUM(L$109:N$109))))</f>
        <v>10720250</v>
      </c>
      <c r="L120" s="46">
        <f>IF(L$114+3&gt;$A$5, 0, MAX(0,  MIN( (L$111-50000000), (L$111-50000000)+VLOOKUP(M$129, $A$10:K$47, K$1, FALSE) +VLOOKUP(N$129, $A$10:K$47, K$1, FALSE)+VLOOKUP(O$129, $A$10:K$47, K$1, FALSE)-SUM(M$109:O$109))))</f>
        <v>9038495.4796851724</v>
      </c>
      <c r="M120" s="46">
        <f>IF(M$114+3&gt;$A$5, 0, MAX(0,  MIN( (M$111-50000000), (M$111-50000000)+VLOOKUP(N$129, $A$10:L$47, L$1, FALSE) +VLOOKUP(O$129, $A$10:L$47, L$1, FALSE)+VLOOKUP(P$129, $A$10:L$47, L$1, FALSE)-SUM(N$109:P$109))))</f>
        <v>22336004.520314828</v>
      </c>
      <c r="N120" s="46">
        <f>IF(N$114+3&gt;$A$5, 0, MAX(0,  MIN( (N$111-50000000), (N$111-50000000)+VLOOKUP(O$129, $A$10:M$47, M$1, FALSE) +VLOOKUP(P$129, $A$10:M$47, M$1, FALSE)+VLOOKUP(Q$129, $A$10:M$47, M$1, FALSE)-SUM(O$109:Q$109))))</f>
        <v>5989250</v>
      </c>
      <c r="O120" s="46">
        <f>IF(O$114+3&gt;$A$5, 0, MAX(0,  MIN( (O$111-50000000), (O$111-50000000)+VLOOKUP(P$129, $A$10:N$47, N$1, FALSE) +VLOOKUP(Q$129, $A$10:N$47, N$1, FALSE)+VLOOKUP(R$129, $A$10:N$47, N$1, FALSE)-SUM(P$109:R$109))))</f>
        <v>56184250</v>
      </c>
      <c r="P120" s="46">
        <f>IF(P$114+3&gt;$A$5, 0, MAX(0,  MIN( (P$111-50000000), (P$111-50000000)+VLOOKUP(Q$129, $A$10:O$47, O$1, FALSE) +VLOOKUP(R$129, $A$10:O$47, O$1, FALSE)+VLOOKUP(S$129, $A$10:O$47, O$1, FALSE)-SUM(Q$109:S$109))))</f>
        <v>1437250</v>
      </c>
      <c r="Q120" s="46">
        <f>IF(Q$114+3&gt;$A$5, 0, MAX(0,  MIN( (Q$111-50000000), (Q$111-50000000)+VLOOKUP(R$129, $A$10:P$47, P$1, FALSE) +VLOOKUP(S$129, $A$10:P$47, P$1, FALSE)+VLOOKUP(T$129, $A$10:P$47, P$1, FALSE)-SUM(R$109:T$109))))</f>
        <v>52881250</v>
      </c>
      <c r="R120" s="46">
        <f>IF(R$114+3&gt;$A$5, 0, MAX(0,  MIN( (R$111-50000000), (R$111-50000000)+VLOOKUP(S$129, $A$10:Q$47, Q$1, FALSE) +VLOOKUP(T$129, $A$10:Q$47, Q$1, FALSE)+VLOOKUP(U$129, $A$10:Q$47, Q$1, FALSE)-SUM(S$109:U$109))))</f>
        <v>49279250</v>
      </c>
      <c r="S120" s="46">
        <f>IF(S$114+3&gt;$A$5, 0, MAX(0,  MIN( (S$111-50000000), (S$111-50000000)+VLOOKUP(T$129, $A$10:R$47, R$1, FALSE) +VLOOKUP(U$129, $A$10:R$47, R$1, FALSE)+VLOOKUP(V$129, $A$10:R$47, R$1, FALSE)-SUM(T$109:V$109))))</f>
        <v>48121250</v>
      </c>
      <c r="T120" s="46">
        <f>IF(T$114+3&gt;$A$5, 0, MAX(0,  MIN( (T$111-50000000), (T$111-50000000)+VLOOKUP(U$129, $A$10:S$47, S$1, FALSE) +VLOOKUP(V$129, $A$10:S$47, S$1, FALSE)+VLOOKUP(W$129, $A$10:S$47, S$1, FALSE)-SUM(U$109:W$109))))</f>
        <v>47266250</v>
      </c>
      <c r="U120" s="46">
        <f>IF(U$114+3&gt;$A$5, 0, MAX(0,  MIN( (U$111-50000000), (U$111-50000000)+VLOOKUP(V$129, $A$10:T$47, T$1, FALSE) +VLOOKUP(W$129, $A$10:T$47, T$1, FALSE)+VLOOKUP(X$129, $A$10:T$47, T$1, FALSE)-SUM(V$109:X$109))))</f>
        <v>1843250</v>
      </c>
      <c r="V120" s="46">
        <f>IF(V$114+3&gt;$A$5, 0, MAX(0,  MIN( (V$111-50000000), (V$111-50000000)+VLOOKUP(W$129, $A$10:U$47, U$1, FALSE) +VLOOKUP(X$129, $A$10:U$47, U$1, FALSE)+VLOOKUP(Y$129, $A$10:U$47, U$1, FALSE)-SUM(W$109:Y$109))))</f>
        <v>47187250</v>
      </c>
      <c r="W120" s="46">
        <f>IF(W$114+3&gt;$A$5, 0, MAX(0,  MIN( (W$111-50000000), (W$111-50000000)+VLOOKUP(X$129, $A$10:V$47, V$1, FALSE) +VLOOKUP(Y$129, $A$10:V$47, V$1, FALSE)+VLOOKUP(Z$129, $A$10:V$47, V$1, FALSE)-SUM(X$109:Z$109))))</f>
        <v>46333250</v>
      </c>
      <c r="X120" s="46">
        <f>IF(X$114+3&gt;$A$5, 0, MAX(0,  MIN( (X$111-50000000), (X$111-50000000)+VLOOKUP(Y$129, $A$10:W$47, W$1, FALSE) +VLOOKUP(Z$129, $A$10:W$47, W$1, FALSE)+VLOOKUP(AA$129, $A$10:W$47, W$1, FALSE)-SUM(Y$109:AA$109))))</f>
        <v>40978250</v>
      </c>
      <c r="Y120" s="46">
        <f>IF(Y$114+3&gt;$A$5, 0, MAX(0,  MIN( (Y$111-50000000), (Y$111-50000000)+VLOOKUP(Z$129, $A$10:X$47, X$1, FALSE) +VLOOKUP(AA$129, $A$10:X$47, X$1, FALSE)+VLOOKUP(AB$129, $A$10:X$47, X$1, FALSE)-SUM(Z$109:AB$109))))</f>
        <v>38845250</v>
      </c>
      <c r="Z120" s="46">
        <f>IF(Z$114+3&gt;$A$5, 0, MAX(0,  MIN( (Z$111-50000000), (Z$111-50000000)+VLOOKUP(AA$129, $A$10:Y$47, Y$1, FALSE) +VLOOKUP(AB$129, $A$10:Y$47, Y$1, FALSE)+VLOOKUP(AC$129, $A$10:Y$47, Y$1, FALSE)-SUM(AA$109:AC$109))))</f>
        <v>71058250</v>
      </c>
      <c r="AA120" s="46">
        <f>IF(AA$114+3&gt;$A$5, 0, MAX(0,  MIN( (AA$111-50000000), (AA$111-50000000)+VLOOKUP(AB$129, $A$10:Z$47, Z$1, FALSE) +VLOOKUP(AC$129, $A$10:Z$47, Z$1, FALSE)+VLOOKUP(AD$129, $A$10:Z$47, Z$1, FALSE)-SUM(AB$109:AD$109))))</f>
        <v>8114250</v>
      </c>
      <c r="AB120" s="46">
        <f>IF(AB$114+3&gt;$A$5, 0, MAX(0,  MIN( (AB$111-50000000), (AB$111-50000000)+VLOOKUP(AC$129, $A$10:AA$47, AA$1, FALSE) +VLOOKUP(AD$129, $A$10:AA$47, AA$1, FALSE)+VLOOKUP(AE$129, $A$10:AA$47, AA$1, FALSE)-SUM(AC$109:AE$109))))</f>
        <v>38845250</v>
      </c>
      <c r="AC120" s="46">
        <f>IF(AC$114+3&gt;$A$5, 0, MAX(0,  MIN( (AC$111-50000000), (AC$111-50000000)+VLOOKUP(AD$129, $A$10:AB$47, AB$1, FALSE) +VLOOKUP(AE$129, $A$10:AB$47, AB$1, FALSE)+VLOOKUP(AF$129, $A$10:AB$47, AB$1, FALSE)-SUM(AD$109:AF$109))))</f>
        <v>36354250</v>
      </c>
      <c r="AD120" s="46">
        <f>IF(AD$114+3&gt;$A$5, 0, MAX(0,  MIN( (AD$111-50000000), (AD$111-50000000)+VLOOKUP(AE$129, $A$10:AC$47, AC$1, FALSE) +VLOOKUP(AF$129, $A$10:AC$47, AC$1, FALSE)+VLOOKUP(AG$129, $A$10:AC$47, AC$1, FALSE)-SUM(AE$109:AG$109))))</f>
        <v>42142250</v>
      </c>
      <c r="AE120" s="46">
        <f>IF(AE$114+3&gt;$A$5, 0, MAX(0,  MIN( (AE$111-50000000), (AE$111-50000000)+VLOOKUP(AF$129, $A$10:AD$47, AD$1, FALSE) +VLOOKUP(AG$129, $A$10:AD$47, AD$1, FALSE)+VLOOKUP(AH$129, $A$10:AD$47, AD$1, FALSE)-SUM(AF$109:AH$109))))</f>
        <v>7711250</v>
      </c>
      <c r="AF120" s="46">
        <f>IF(AF$114+3&gt;$A$5, 0, MAX(0,  MIN( (AF$111-50000000), (AF$111-50000000)+VLOOKUP(AG$129, $A$10:AE$47, AE$1, FALSE) +VLOOKUP(AH$129, $A$10:AE$47, AE$1, FALSE)+VLOOKUP(AI$129, $A$10:AE$47, AE$1, FALSE)-SUM(AG$109:AI$109))))</f>
        <v>46392250</v>
      </c>
      <c r="AG120" s="46">
        <f>IF(AG$114+3&gt;$A$5, 0, MAX(0,  MIN( (AG$111-50000000), (AG$111-50000000)+VLOOKUP(AH$129, $A$10:AF$47, AF$1, FALSE) +VLOOKUP(AI$129, $A$10:AF$47, AF$1, FALSE)+VLOOKUP(AJ$129, $A$10:AF$47, AF$1, FALSE)-SUM(AH$109:AJ$109))))</f>
        <v>0</v>
      </c>
      <c r="AH120" s="46">
        <f>IF(AH$114+3&gt;$A$5, 0, MAX(0,  MIN( (AH$111-50000000), (AH$111-50000000)+VLOOKUP(AI$129, $A$10:AG$47, AG$1, FALSE) +VLOOKUP(AJ$129, $A$10:AG$47, AG$1, FALSE)+VLOOKUP(AK$129, $A$10:AG$47, AG$1, FALSE)-SUM(AI$109:AK$109))))</f>
        <v>0</v>
      </c>
      <c r="AI120" s="46">
        <f>IF(AI$114+3&gt;$A$5, 0, MAX(0,  MIN( (AI$111-50000000), (AI$111-50000000)+VLOOKUP(AJ$129, $A$10:AH$47, AH$1, FALSE) +VLOOKUP(AK$129, $A$10:AH$47, AH$1, FALSE)+VLOOKUP(AL$129, $A$10:AH$47, AH$1, FALSE)-SUM(AJ$109:AL$109))))</f>
        <v>0</v>
      </c>
      <c r="AJ120" s="46">
        <f>IF(AJ$114+3&gt;$A$5, 0, MAX(0,  MIN( (AJ$111-50000000), (AJ$111-50000000)+VLOOKUP(AK$129, $A$10:AI$47, AI$1, FALSE) +VLOOKUP(AL$129, $A$10:AI$47, AI$1, FALSE)+VLOOKUP(AM$129, $A$10:AI$47, AI$1, FALSE)-SUM(AK$109:AM$109))))</f>
        <v>0</v>
      </c>
      <c r="AK120" s="46">
        <f>IF(AK$114+3&gt;$A$5, 0, MAX(0,  MIN( (AK$111-50000000), (AK$111-50000000)+VLOOKUP(AL$129, $A$10:AJ$47, AJ$1, FALSE) +VLOOKUP(AM$129, $A$10:AJ$47, AJ$1, FALSE)+VLOOKUP(#REF!, $A$10:AJ$47, AJ$1, FALSE)-SUM(AL$109:AM$109))))</f>
        <v>0</v>
      </c>
      <c r="AL120" s="46">
        <f>IF(AL$114+3&gt;$A$5, 0, MAX(0,  MIN( (AL$111-50000000), (AL$111-50000000)+VLOOKUP(AM$129, $A$10:AK$47, AK$1, FALSE) +VLOOKUP(#REF!, $A$10:AK$47, AK$1, FALSE)+VLOOKUP(#REF!, $A$10:AK$47, AK$1, FALSE)-SUM(AM$109:AM$109))))</f>
        <v>0</v>
      </c>
      <c r="AM120" s="46">
        <f>IF(AM$114+3&gt;$A$5, 0, MAX(0,  MIN( (AM$111-50000000), (AM$111-50000000)+VLOOKUP(#REF!, $A$10:AL$47, AL$1, FALSE) +VLOOKUP(#REF!, $A$10:AL$47, AL$1, FALSE)+VLOOKUP(#REF!, $A$10:AL$47, AL$1, FALSE)-SUM(#REF!))))</f>
        <v>0</v>
      </c>
      <c r="AP120" s="10">
        <f t="shared" si="102"/>
        <v>7</v>
      </c>
    </row>
    <row r="121" spans="1:42" outlineLevel="1">
      <c r="A121" t="s">
        <v>51</v>
      </c>
      <c r="B121" s="46"/>
      <c r="C121" s="46">
        <f>IF(C$114+4&gt;$A$5, 0, MAX(0,  MIN( (C$111-50000000), (C$111-50000000)+VLOOKUP(D$129, $A$10:B$47, B$1, FALSE) +VLOOKUP(E$129, $A$10:B$47, B$1, FALSE)+VLOOKUP(F$129, $A$10:B$47, B$1, FALSE)+VLOOKUP(G$129, $A$10:B$47, B$1, FALSE)-SUM(D$109:G$109))))</f>
        <v>144177650</v>
      </c>
      <c r="D121" s="46">
        <f>IF(D$114+4&gt;$A$5, 0, MAX(0,  MIN( (D$111-50000000), (D$111-50000000)+VLOOKUP(E$129, $A$10:C$47, C$1, FALSE) +VLOOKUP(F$129, $A$10:C$47, C$1, FALSE)+VLOOKUP(G$129, $A$10:C$47, C$1, FALSE)+VLOOKUP(H$129, $A$10:C$47, C$1, FALSE)-SUM(E$109:H$109))))</f>
        <v>162368550</v>
      </c>
      <c r="E121" s="46">
        <f>IF(E$114+4&gt;$A$5, 0, MAX(0,  MIN( (E$111-50000000), (E$111-50000000)+VLOOKUP(F$129, $A$10:D$47, D$1, FALSE) +VLOOKUP(G$129, $A$10:D$47, D$1, FALSE)+VLOOKUP(H$129, $A$10:D$47, D$1, FALSE)+VLOOKUP(I$129, $A$10:D$47, D$1, FALSE)-SUM(F$109:I$109))))</f>
        <v>173306650</v>
      </c>
      <c r="F121" s="46">
        <f>IF(F$114+4&gt;$A$5, 0, MAX(0,  MIN( (F$111-50000000), (F$111-50000000)+VLOOKUP(G$129, $A$10:E$47, E$1, FALSE) +VLOOKUP(H$129, $A$10:E$47, E$1, FALSE)+VLOOKUP(I$129, $A$10:E$47, E$1, FALSE)+VLOOKUP(J$129, $A$10:E$47, E$1, FALSE)-SUM(G$109:J$109))))</f>
        <v>168944450</v>
      </c>
      <c r="G121" s="46">
        <f>IF(G$114+4&gt;$A$5, 0, MAX(0,  MIN( (G$111-50000000), (G$111-50000000)+VLOOKUP(H$129, $A$10:F$47, F$1, FALSE) +VLOOKUP(I$129, $A$10:F$47, F$1, FALSE)+VLOOKUP(J$129, $A$10:F$47, F$1, FALSE)+VLOOKUP(K$129, $A$10:F$47, F$1, FALSE)-SUM(H$109:K$109))))</f>
        <v>1593550</v>
      </c>
      <c r="H121" s="46">
        <f>IF(H$114+4&gt;$A$5, 0, MAX(0,  MIN( (H$111-50000000), (H$111-50000000)+VLOOKUP(I$129, $A$10:G$47, G$1, FALSE) +VLOOKUP(J$129, $A$10:G$47, G$1, FALSE)+VLOOKUP(K$129, $A$10:G$47, G$1, FALSE)+VLOOKUP(L$129, $A$10:G$47, G$1, FALSE)-SUM(I$109:L$109))))</f>
        <v>3226250</v>
      </c>
      <c r="I121" s="46">
        <f>IF(I$114+4&gt;$A$5, 0, MAX(0,  MIN( (I$111-50000000), (I$111-50000000)+VLOOKUP(J$129, $A$10:H$47, H$1, FALSE) +VLOOKUP(K$129, $A$10:H$47, H$1, FALSE)+VLOOKUP(L$129, $A$10:H$47, H$1, FALSE)+VLOOKUP(M$129, $A$10:H$47, H$1, FALSE)-SUM(J$109:M$109))))</f>
        <v>65643250</v>
      </c>
      <c r="J121" s="46">
        <f>IF(J$114+4&gt;$A$5, 0, MAX(0,  MIN( (J$111-50000000), (J$111-50000000)+VLOOKUP(K$129, $A$10:I$47, I$1, FALSE) +VLOOKUP(L$129, $A$10:I$47, I$1, FALSE)+VLOOKUP(M$129, $A$10:I$47, I$1, FALSE)+VLOOKUP(N$129, $A$10:I$47, I$1, FALSE)-SUM(K$109:N$109))))</f>
        <v>27683250</v>
      </c>
      <c r="K121" s="46">
        <f>IF(K$114+4&gt;$A$5, 0, MAX(0,  MIN( (K$111-50000000), (K$111-50000000)+VLOOKUP(L$129, $A$10:J$47, J$1, FALSE) +VLOOKUP(M$129, $A$10:J$47, J$1, FALSE)+VLOOKUP(N$129, $A$10:J$47, J$1, FALSE)+VLOOKUP(O$129, $A$10:J$47, J$1, FALSE)-SUM(L$109:O$109))))</f>
        <v>10720250</v>
      </c>
      <c r="L121" s="46">
        <f>IF(L$114+4&gt;$A$5, 0, MAX(0,  MIN( (L$111-50000000), (L$111-50000000)+VLOOKUP(M$129, $A$10:K$47, K$1, FALSE) +VLOOKUP(N$129, $A$10:K$47, K$1, FALSE)+VLOOKUP(O$129, $A$10:K$47, K$1, FALSE)+VLOOKUP(P$129, $A$10:K$47, K$1, FALSE)-SUM(M$109:P$109))))</f>
        <v>9038495.4796851724</v>
      </c>
      <c r="M121" s="46">
        <f>IF(M$114+4&gt;$A$5, 0, MAX(0,  MIN( (M$111-50000000), (M$111-50000000)+VLOOKUP(N$129, $A$10:L$47, L$1, FALSE) +VLOOKUP(O$129, $A$10:L$47, L$1, FALSE)+VLOOKUP(P$129, $A$10:L$47, L$1, FALSE)+VLOOKUP(Q$129, $A$10:L$47, L$1, FALSE)-SUM(N$109:Q$109))))</f>
        <v>22336004.520314828</v>
      </c>
      <c r="N121" s="46">
        <f>IF(N$114+4&gt;$A$5, 0, MAX(0,  MIN( (N$111-50000000), (N$111-50000000)+VLOOKUP(O$129, $A$10:M$47, M$1, FALSE) +VLOOKUP(P$129, $A$10:M$47, M$1, FALSE)+VLOOKUP(Q$129, $A$10:M$47, M$1, FALSE)+VLOOKUP(R$129, $A$10:M$47, M$1, FALSE)-SUM(O$109:R$109))))</f>
        <v>5989250</v>
      </c>
      <c r="O121" s="46">
        <f>IF(O$114+4&gt;$A$5, 0, MAX(0,  MIN( (O$111-50000000), (O$111-50000000)+VLOOKUP(P$129, $A$10:N$47, N$1, FALSE) +VLOOKUP(Q$129, $A$10:N$47, N$1, FALSE)+VLOOKUP(R$129, $A$10:N$47, N$1, FALSE)+VLOOKUP(S$129, $A$10:N$47, N$1, FALSE)-SUM(P$109:S$109))))</f>
        <v>56184250</v>
      </c>
      <c r="P121" s="46">
        <f>IF(P$114+4&gt;$A$5, 0, MAX(0,  MIN( (P$111-50000000), (P$111-50000000)+VLOOKUP(Q$129, $A$10:O$47, O$1, FALSE) +VLOOKUP(R$129, $A$10:O$47, O$1, FALSE)+VLOOKUP(S$129, $A$10:O$47, O$1, FALSE)+VLOOKUP(T$129, $A$10:O$47, O$1, FALSE)-SUM(Q$109:T$109))))</f>
        <v>1437250</v>
      </c>
      <c r="Q121" s="46">
        <f>IF(Q$114+4&gt;$A$5, 0, MAX(0,  MIN( (Q$111-50000000), (Q$111-50000000)+VLOOKUP(R$129, $A$10:P$47, P$1, FALSE) +VLOOKUP(S$129, $A$10:P$47, P$1, FALSE)+VLOOKUP(T$129, $A$10:P$47, P$1, FALSE)+VLOOKUP(U$129, $A$10:P$47, P$1, FALSE)-SUM(R$109:U$109))))</f>
        <v>52881250</v>
      </c>
      <c r="R121" s="46">
        <f>IF(R$114+4&gt;$A$5, 0, MAX(0,  MIN( (R$111-50000000), (R$111-50000000)+VLOOKUP(S$129, $A$10:Q$47, Q$1, FALSE) +VLOOKUP(T$129, $A$10:Q$47, Q$1, FALSE)+VLOOKUP(U$129, $A$10:Q$47, Q$1, FALSE)+VLOOKUP(V$129, $A$10:Q$47, Q$1, FALSE)-SUM(S$109:V$109))))</f>
        <v>49279250</v>
      </c>
      <c r="S121" s="46">
        <f>IF(S$114+4&gt;$A$5, 0, MAX(0,  MIN( (S$111-50000000), (S$111-50000000)+VLOOKUP(T$129, $A$10:R$47, R$1, FALSE) +VLOOKUP(U$129, $A$10:R$47, R$1, FALSE)+VLOOKUP(V$129, $A$10:R$47, R$1, FALSE)+VLOOKUP(W$129, $A$10:R$47, R$1, FALSE)-SUM(T$109:W$109))))</f>
        <v>48121250</v>
      </c>
      <c r="T121" s="46">
        <f>IF(T$114+4&gt;$A$5, 0, MAX(0,  MIN( (T$111-50000000), (T$111-50000000)+VLOOKUP(U$129, $A$10:S$47, S$1, FALSE) +VLOOKUP(V$129, $A$10:S$47, S$1, FALSE)+VLOOKUP(W$129, $A$10:S$47, S$1, FALSE)+VLOOKUP(X$129, $A$10:S$47, S$1, FALSE)-SUM(U$109:X$109))))</f>
        <v>47266250</v>
      </c>
      <c r="U121" s="46">
        <f>IF(U$114+4&gt;$A$5, 0, MAX(0,  MIN( (U$111-50000000), (U$111-50000000)+VLOOKUP(V$129, $A$10:T$47, T$1, FALSE) +VLOOKUP(W$129, $A$10:T$47, T$1, FALSE)+VLOOKUP(X$129, $A$10:T$47, T$1, FALSE)+VLOOKUP(Y$129, $A$10:T$47, T$1, FALSE)-SUM(V$109:Y$109))))</f>
        <v>1843250</v>
      </c>
      <c r="V121" s="46">
        <f>IF(V$114+4&gt;$A$5, 0, MAX(0,  MIN( (V$111-50000000), (V$111-50000000)+VLOOKUP(W$129, $A$10:U$47, U$1, FALSE) +VLOOKUP(X$129, $A$10:U$47, U$1, FALSE)+VLOOKUP(Y$129, $A$10:U$47, U$1, FALSE)+VLOOKUP(Z$129, $A$10:U$47, U$1, FALSE)-SUM(W$109:Z$109))))</f>
        <v>47187250</v>
      </c>
      <c r="W121" s="46">
        <f>IF(W$114+4&gt;$A$5, 0, MAX(0,  MIN( (W$111-50000000), (W$111-50000000)+VLOOKUP(X$129, $A$10:V$47, V$1, FALSE) +VLOOKUP(Y$129, $A$10:V$47, V$1, FALSE)+VLOOKUP(Z$129, $A$10:V$47, V$1, FALSE)+VLOOKUP(AA$129, $A$10:V$47, V$1, FALSE)-SUM(X$109:AA$109))))</f>
        <v>46333250</v>
      </c>
      <c r="X121" s="46">
        <f>IF(X$114+4&gt;$A$5, 0, MAX(0,  MIN( (X$111-50000000), (X$111-50000000)+VLOOKUP(Y$129, $A$10:W$47, W$1, FALSE) +VLOOKUP(Z$129, $A$10:W$47, W$1, FALSE)+VLOOKUP(AA$129, $A$10:W$47, W$1, FALSE)+VLOOKUP(AB$129, $A$10:W$47, W$1, FALSE)-SUM(Y$109:AB$109))))</f>
        <v>43644250</v>
      </c>
      <c r="Y121" s="46">
        <f>IF(Y$114+4&gt;$A$5, 0, MAX(0,  MIN( (Y$111-50000000), (Y$111-50000000)+VLOOKUP(Z$129, $A$10:X$47, X$1, FALSE) +VLOOKUP(AA$129, $A$10:X$47, X$1, FALSE)+VLOOKUP(AB$129, $A$10:X$47, X$1, FALSE)+VLOOKUP(AC$129, $A$10:X$47, X$1, FALSE)-SUM(Z$109:AC$109))))</f>
        <v>42699250</v>
      </c>
      <c r="Z121" s="46">
        <f>IF(Z$114+4&gt;$A$5, 0, MAX(0,  MIN( (Z$111-50000000), (Z$111-50000000)+VLOOKUP(AA$129, $A$10:Y$47, Y$1, FALSE) +VLOOKUP(AB$129, $A$10:Y$47, Y$1, FALSE)+VLOOKUP(AC$129, $A$10:Y$47, Y$1, FALSE)+VLOOKUP(AD$129, $A$10:Y$47, Y$1, FALSE)-SUM(AA$109:AD$109))))</f>
        <v>78098250</v>
      </c>
      <c r="AA121" s="46">
        <f>IF(AA$114+4&gt;$A$5, 0, MAX(0,  MIN( (AA$111-50000000), (AA$111-50000000)+VLOOKUP(AB$129, $A$10:Z$47, Z$1, FALSE) +VLOOKUP(AC$129, $A$10:Z$47, Z$1, FALSE)+VLOOKUP(AD$129, $A$10:Z$47, Z$1, FALSE)+VLOOKUP(AE$129, $A$10:Z$47, Z$1, FALSE)-SUM(AB$109:AE$109))))</f>
        <v>8114250</v>
      </c>
      <c r="AB121" s="46">
        <f>IF(AB$114+4&gt;$A$5, 0, MAX(0,  MIN( (AB$111-50000000), (AB$111-50000000)+VLOOKUP(AC$129, $A$10:AA$47, AA$1, FALSE) +VLOOKUP(AD$129, $A$10:AA$47, AA$1, FALSE)+VLOOKUP(AE$129, $A$10:AA$47, AA$1, FALSE)+VLOOKUP(AF$129, $A$10:AA$47, AA$1, FALSE)-SUM(AC$109:AF$109))))</f>
        <v>38845250</v>
      </c>
      <c r="AC121" s="46">
        <f>IF(AC$114+4&gt;$A$5, 0, MAX(0,  MIN( (AC$111-50000000), (AC$111-50000000)+VLOOKUP(AD$129, $A$10:AB$47, AB$1, FALSE) +VLOOKUP(AE$129, $A$10:AB$47, AB$1, FALSE)+VLOOKUP(AF$129, $A$10:AB$47, AB$1, FALSE)+VLOOKUP(AG$129, $A$10:AB$47, AB$1, FALSE)-SUM(AD$109:AG$109))))</f>
        <v>36354250</v>
      </c>
      <c r="AD121" s="46">
        <f>IF(AD$114+4&gt;$A$5, 0, MAX(0,  MIN( (AD$111-50000000), (AD$111-50000000)+VLOOKUP(AE$129, $A$10:AC$47, AC$1, FALSE) +VLOOKUP(AF$129, $A$10:AC$47, AC$1, FALSE)+VLOOKUP(AG$129, $A$10:AC$47, AC$1, FALSE)+VLOOKUP(AH$129, $A$10:AC$47, AC$1, FALSE)-SUM(AE$109:AH$109))))</f>
        <v>42142250</v>
      </c>
      <c r="AE121" s="46">
        <f>IF(AE$114+4&gt;$A$5, 0, MAX(0,  MIN( (AE$111-50000000), (AE$111-50000000)+VLOOKUP(AF$129, $A$10:AD$47, AD$1, FALSE) +VLOOKUP(AG$129, $A$10:AD$47, AD$1, FALSE)+VLOOKUP(AH$129, $A$10:AD$47, AD$1, FALSE)+VLOOKUP(AI$129, $A$10:AD$47, AD$1, FALSE)-SUM(AF$109:AI$109))))</f>
        <v>7711250</v>
      </c>
      <c r="AF121" s="46">
        <f>IF(AF$114+4&gt;$A$5, 0, MAX(0,  MIN( (AF$111-50000000), (AF$111-50000000)+VLOOKUP(AG$129, $A$10:AE$47, AE$1, FALSE) +VLOOKUP(AH$129, $A$10:AE$47, AE$1, FALSE)+VLOOKUP(AI$129, $A$10:AE$47, AE$1, FALSE)+VLOOKUP(AJ$129, $A$10:AE$47, AE$1, FALSE)-SUM(AG$109:AJ$109))))</f>
        <v>0</v>
      </c>
      <c r="AG121" s="46">
        <f>IF(AG$114+4&gt;$A$5, 0, MAX(0,  MIN( (AG$111-50000000), (AG$111-50000000)+VLOOKUP(AH$129, $A$10:AF$47, AF$1, FALSE) +VLOOKUP(AI$129, $A$10:AF$47, AF$1, FALSE)+VLOOKUP(AJ$129, $A$10:AF$47, AF$1, FALSE)+VLOOKUP(AK$129, $A$10:AF$47, AF$1, FALSE)-SUM(AH$109:AK$109))))</f>
        <v>0</v>
      </c>
      <c r="AH121" s="46">
        <f>IF(AH$114+4&gt;$A$5, 0, MAX(0,  MIN( (AH$111-50000000), (AH$111-50000000)+VLOOKUP(AI$129, $A$10:AG$47, AG$1, FALSE) +VLOOKUP(AJ$129, $A$10:AG$47, AG$1, FALSE)+VLOOKUP(AK$129, $A$10:AG$47, AG$1, FALSE)+VLOOKUP(AL$129, $A$10:AG$47, AG$1, FALSE)-SUM(AI$109:AL$109))))</f>
        <v>0</v>
      </c>
      <c r="AI121" s="46">
        <f>IF(AI$114+4&gt;$A$5, 0, MAX(0,  MIN( (AI$111-50000000), (AI$111-50000000)+VLOOKUP(AJ$129, $A$10:AH$47, AH$1, FALSE) +VLOOKUP(AK$129, $A$10:AH$47, AH$1, FALSE)+VLOOKUP(AL$129, $A$10:AH$47, AH$1, FALSE)+VLOOKUP(AM$129, $A$10:AH$47, AH$1, FALSE)-SUM(AJ$109:AM$109))))</f>
        <v>0</v>
      </c>
      <c r="AJ121" s="46">
        <f>IF(AJ$114+4&gt;$A$5, 0, MAX(0,  MIN( (AJ$111-50000000), (AJ$111-50000000)+VLOOKUP(AK$129, $A$10:AI$47, AI$1, FALSE) +VLOOKUP(AL$129, $A$10:AI$47, AI$1, FALSE)+VLOOKUP(AM$129, $A$10:AI$47, AI$1, FALSE)+VLOOKUP(#REF!, $A$10:AI$47, AI$1, FALSE)-SUM(AK$109:AM$109))))</f>
        <v>0</v>
      </c>
      <c r="AK121" s="46">
        <f>IF(AK$114+4&gt;$A$5, 0, MAX(0,  MIN( (AK$111-50000000), (AK$111-50000000)+VLOOKUP(AL$129, $A$10:AJ$47, AJ$1, FALSE) +VLOOKUP(AM$129, $A$10:AJ$47, AJ$1, FALSE)+VLOOKUP(#REF!, $A$10:AJ$47, AJ$1, FALSE)+VLOOKUP(#REF!, $A$10:AJ$47, AJ$1, FALSE)-SUM(AL$109:AM$109))))</f>
        <v>0</v>
      </c>
      <c r="AL121" s="46">
        <f>IF(AL$114+4&gt;$A$5, 0, MAX(0,  MIN( (AL$111-50000000), (AL$111-50000000)+VLOOKUP(AM$129, $A$10:AK$47, AK$1, FALSE) +VLOOKUP(#REF!, $A$10:AK$47, AK$1, FALSE)+VLOOKUP(#REF!, $A$10:AK$47, AK$1, FALSE)+VLOOKUP(#REF!, $A$10:AK$47, AK$1, FALSE)-SUM(AM$109:AM$109))))</f>
        <v>0</v>
      </c>
      <c r="AM121" s="46">
        <f>IF(AM$114+4&gt;$A$5, 0, MAX(0,  MIN( (AM$111-50000000), (AM$111-50000000)+VLOOKUP(#REF!, $A$10:AL$47, AL$1, FALSE) +VLOOKUP(#REF!, $A$10:AL$47, AL$1, FALSE)+VLOOKUP(#REF!, $A$10:AL$47, AL$1, FALSE)+VLOOKUP(#REF!, $A$10:AL$47, AL$1, FALSE)-SUM(#REF!))))</f>
        <v>0</v>
      </c>
      <c r="AP121" s="10">
        <f t="shared" si="102"/>
        <v>8</v>
      </c>
    </row>
    <row r="122" spans="1:42" outlineLevel="1">
      <c r="A122" t="s">
        <v>52</v>
      </c>
      <c r="B122" s="46"/>
      <c r="C122" s="46">
        <f>IF(C$114+5&gt;$A$5, 0, MAX(0,  MIN( (C$111-50000000), (C$111-50000000)+VLOOKUP(D$129, $A$10:B$47, B$1, FALSE) +VLOOKUP(E$129, $A$10:B$47, B$1, FALSE)+VLOOKUP(F$129, $A$10:B$47, B$1, FALSE)+VLOOKUP(G$129, $A$10:B$47, B$1, FALSE)+VLOOKUP(H$129, $A$10:B$47, B$1, FALSE)-SUM(D$109:H$109))))</f>
        <v>144177650</v>
      </c>
      <c r="D122" s="46">
        <f>IF(D$114+5&gt;$A$5, 0, MAX(0,  MIN( (D$111-50000000), (D$111-50000000)+VLOOKUP(E$129, $A$10:C$47, C$1, FALSE) +VLOOKUP(F$129, $A$10:C$47, C$1, FALSE)+VLOOKUP(G$129, $A$10:C$47, C$1, FALSE)+VLOOKUP(H$129, $A$10:C$47, C$1, FALSE)+VLOOKUP(I$129, $A$10:C$47, C$1, FALSE)-SUM(E$109:I$109))))</f>
        <v>162368550</v>
      </c>
      <c r="E122" s="46">
        <f>IF(E$114+5&gt;$A$5, 0, MAX(0,  MIN( (E$111-50000000), (E$111-50000000)+VLOOKUP(F$129, $A$10:D$47, D$1, FALSE) +VLOOKUP(G$129, $A$10:D$47, D$1, FALSE)+VLOOKUP(H$129, $A$10:D$47, D$1, FALSE)+VLOOKUP(I$129, $A$10:D$47, D$1, FALSE)+VLOOKUP(J$129, $A$10:D$47, D$1, FALSE)-SUM(F$109:J$109))))</f>
        <v>173306650</v>
      </c>
      <c r="F122" s="46">
        <f>IF(F$114+5&gt;$A$5, 0, MAX(0,  MIN( (F$111-50000000), (F$111-50000000)+VLOOKUP(G$129, $A$10:E$47, E$1, FALSE) +VLOOKUP(H$129, $A$10:E$47, E$1, FALSE)+VLOOKUP(I$129, $A$10:E$47, E$1, FALSE)+VLOOKUP(J$129, $A$10:E$47, E$1, FALSE)+VLOOKUP(K$129, $A$10:E$47, E$1, FALSE)-SUM(G$109:K$109))))</f>
        <v>118450250</v>
      </c>
      <c r="G122" s="46">
        <f>IF(G$114+5&gt;$A$5, 0, MAX(0,  MIN( (G$111-50000000), (G$111-50000000)+VLOOKUP(H$129, $A$10:F$47, F$1, FALSE) +VLOOKUP(I$129, $A$10:F$47, F$1, FALSE)+VLOOKUP(J$129, $A$10:F$47, F$1, FALSE)+VLOOKUP(K$129, $A$10:F$47, F$1, FALSE)+VLOOKUP(L$129, $A$10:F$47, F$1, FALSE)-SUM(H$109:L$109))))</f>
        <v>1593550</v>
      </c>
      <c r="H122" s="46">
        <f>IF(H$114+5&gt;$A$5, 0, MAX(0,  MIN( (H$111-50000000), (H$111-50000000)+VLOOKUP(I$129, $A$10:G$47, G$1, FALSE) +VLOOKUP(J$129, $A$10:G$47, G$1, FALSE)+VLOOKUP(K$129, $A$10:G$47, G$1, FALSE)+VLOOKUP(L$129, $A$10:G$47, G$1, FALSE)+VLOOKUP(M$129, $A$10:G$47, G$1, FALSE)-SUM(I$109:M$109))))</f>
        <v>3226250</v>
      </c>
      <c r="I122" s="46">
        <f>IF(I$114+5&gt;$A$5, 0, MAX(0,  MIN( (I$111-50000000), (I$111-50000000)+VLOOKUP(J$129, $A$10:H$47, H$1, FALSE) +VLOOKUP(K$129, $A$10:H$47, H$1, FALSE)+VLOOKUP(L$129, $A$10:H$47, H$1, FALSE)+VLOOKUP(M$129, $A$10:H$47, H$1, FALSE)+VLOOKUP(N$129, $A$10:H$47, H$1, FALSE)-SUM(J$109:N$109))))</f>
        <v>65643250</v>
      </c>
      <c r="J122" s="46">
        <f>IF(J$114+5&gt;$A$5, 0, MAX(0,  MIN( (J$111-50000000), (J$111-50000000)+VLOOKUP(K$129, $A$10:I$47, I$1, FALSE) +VLOOKUP(L$129, $A$10:I$47, I$1, FALSE)+VLOOKUP(M$129, $A$10:I$47, I$1, FALSE)+VLOOKUP(N$129, $A$10:I$47, I$1, FALSE)+VLOOKUP(O$129, $A$10:I$47, I$1, FALSE)-SUM(K$109:O$109))))</f>
        <v>62781250</v>
      </c>
      <c r="K122" s="46">
        <f>IF(K$114+5&gt;$A$5, 0, MAX(0,  MIN( (K$111-50000000), (K$111-50000000)+VLOOKUP(L$129, $A$10:J$47, J$1, FALSE) +VLOOKUP(M$129, $A$10:J$47, J$1, FALSE)+VLOOKUP(N$129, $A$10:J$47, J$1, FALSE)+VLOOKUP(O$129, $A$10:J$47, J$1, FALSE)+VLOOKUP(P$129, $A$10:J$47, J$1, FALSE)-SUM(L$109:P$109))))</f>
        <v>10720250</v>
      </c>
      <c r="L122" s="46">
        <f>IF(L$114+5&gt;$A$5, 0, MAX(0,  MIN( (L$111-50000000), (L$111-50000000)+VLOOKUP(M$129, $A$10:K$47, K$1, FALSE) +VLOOKUP(N$129, $A$10:K$47, K$1, FALSE)+VLOOKUP(O$129, $A$10:K$47, K$1, FALSE)+VLOOKUP(P$129, $A$10:K$47, K$1, FALSE)+VLOOKUP(Q$129, $A$10:K$47, K$1, FALSE)-SUM(M$109:Q$109))))</f>
        <v>9038495.4796851724</v>
      </c>
      <c r="M122" s="46">
        <f>IF(M$114+5&gt;$A$5, 0, MAX(0,  MIN( (M$111-50000000), (M$111-50000000)+VLOOKUP(N$129, $A$10:L$47, L$1, FALSE) +VLOOKUP(O$129, $A$10:L$47, L$1, FALSE)+VLOOKUP(P$129, $A$10:L$47, L$1, FALSE)+VLOOKUP(Q$129, $A$10:L$47, L$1, FALSE)+VLOOKUP(R$129, $A$10:L$47, L$1, FALSE)-SUM(N$109:R$109))))</f>
        <v>22336004.520314828</v>
      </c>
      <c r="N122" s="46">
        <f>IF(N$114+5&gt;$A$5, 0, MAX(0,  MIN( (N$111-50000000), (N$111-50000000)+VLOOKUP(O$129, $A$10:M$47, M$1, FALSE) +VLOOKUP(P$129, $A$10:M$47, M$1, FALSE)+VLOOKUP(Q$129, $A$10:M$47, M$1, FALSE)+VLOOKUP(R$129, $A$10:M$47, M$1, FALSE)+VLOOKUP(S$129, $A$10:M$47, M$1, FALSE)-SUM(O$109:S$109))))</f>
        <v>5989250</v>
      </c>
      <c r="O122" s="46">
        <f>IF(O$114+5&gt;$A$5, 0, MAX(0,  MIN( (O$111-50000000), (O$111-50000000)+VLOOKUP(P$129, $A$10:N$47, N$1, FALSE) +VLOOKUP(Q$129, $A$10:N$47, N$1, FALSE)+VLOOKUP(R$129, $A$10:N$47, N$1, FALSE)+VLOOKUP(S$129, $A$10:N$47, N$1, FALSE)+VLOOKUP(T$129, $A$10:N$47, N$1, FALSE)-SUM(P$109:T$109))))</f>
        <v>56184250</v>
      </c>
      <c r="P122" s="46">
        <f>IF(P$114+5&gt;$A$5, 0, MAX(0,  MIN( (P$111-50000000), (P$111-50000000)+VLOOKUP(Q$129, $A$10:O$47, O$1, FALSE) +VLOOKUP(R$129, $A$10:O$47, O$1, FALSE)+VLOOKUP(S$129, $A$10:O$47, O$1, FALSE)+VLOOKUP(T$129, $A$10:O$47, O$1, FALSE)+VLOOKUP(U$129, $A$10:O$47, O$1, FALSE)-SUM(Q$109:U$109))))</f>
        <v>1437250</v>
      </c>
      <c r="Q122" s="46">
        <f>IF(Q$114+5&gt;$A$5, 0, MAX(0,  MIN( (Q$111-50000000), (Q$111-50000000)+VLOOKUP(R$129, $A$10:P$47, P$1, FALSE) +VLOOKUP(S$129, $A$10:P$47, P$1, FALSE)+VLOOKUP(T$129, $A$10:P$47, P$1, FALSE)+VLOOKUP(U$129, $A$10:P$47, P$1, FALSE)+VLOOKUP(V$129, $A$10:P$47, P$1, FALSE)-SUM(R$109:V$109))))</f>
        <v>52881250</v>
      </c>
      <c r="R122" s="46">
        <f>IF(R$114+5&gt;$A$5, 0, MAX(0,  MIN( (R$111-50000000), (R$111-50000000)+VLOOKUP(S$129, $A$10:Q$47, Q$1, FALSE) +VLOOKUP(T$129, $A$10:Q$47, Q$1, FALSE)+VLOOKUP(U$129, $A$10:Q$47, Q$1, FALSE)+VLOOKUP(V$129, $A$10:Q$47, Q$1, FALSE)+VLOOKUP(W$129, $A$10:Q$47, Q$1, FALSE)-SUM(S$109:W$109))))</f>
        <v>49279250</v>
      </c>
      <c r="S122" s="46">
        <f>IF(S$114+5&gt;$A$5, 0, MAX(0,  MIN( (S$111-50000000), (S$111-50000000)+VLOOKUP(T$129, $A$10:R$47, R$1, FALSE) +VLOOKUP(U$129, $A$10:R$47, R$1, FALSE)+VLOOKUP(V$129, $A$10:R$47, R$1, FALSE)+VLOOKUP(W$129, $A$10:R$47, R$1, FALSE)+VLOOKUP(X$129, $A$10:R$47, R$1, FALSE)-SUM(T$109:X$109))))</f>
        <v>48121250</v>
      </c>
      <c r="T122" s="46">
        <f>IF(T$114+5&gt;$A$5, 0, MAX(0,  MIN( (T$111-50000000), (T$111-50000000)+VLOOKUP(U$129, $A$10:S$47, S$1, FALSE) +VLOOKUP(V$129, $A$10:S$47, S$1, FALSE)+VLOOKUP(W$129, $A$10:S$47, S$1, FALSE)+VLOOKUP(X$129, $A$10:S$47, S$1, FALSE)+VLOOKUP(Y$129, $A$10:S$47, S$1, FALSE)-SUM(U$109:Y$109))))</f>
        <v>47266250</v>
      </c>
      <c r="U122" s="46">
        <f>IF(U$114+5&gt;$A$5, 0, MAX(0,  MIN( (U$111-50000000), (U$111-50000000)+VLOOKUP(V$129, $A$10:T$47, T$1, FALSE) +VLOOKUP(W$129, $A$10:T$47, T$1, FALSE)+VLOOKUP(X$129, $A$10:T$47, T$1, FALSE)+VLOOKUP(Y$129, $A$10:T$47, T$1, FALSE)+VLOOKUP(Z$129, $A$10:T$47, T$1, FALSE)-SUM(V$109:Z$109))))</f>
        <v>1843250</v>
      </c>
      <c r="V122" s="46">
        <f>IF(V$114+5&gt;$A$5, 0, MAX(0,  MIN( (V$111-50000000), (V$111-50000000)+VLOOKUP(W$129, $A$10:U$47, U$1, FALSE) +VLOOKUP(X$129, $A$10:U$47, U$1, FALSE)+VLOOKUP(Y$129, $A$10:U$47, U$1, FALSE)+VLOOKUP(Z$129, $A$10:U$47, U$1, FALSE)+VLOOKUP(AA$129, $A$10:U$47, U$1, FALSE)-SUM(W$109:AA$109))))</f>
        <v>47187250</v>
      </c>
      <c r="W122" s="46">
        <f>IF(W$114+5&gt;$A$5, 0, MAX(0,  MIN( (W$111-50000000), (W$111-50000000)+VLOOKUP(X$129, $A$10:V$47, V$1, FALSE) +VLOOKUP(Y$129, $A$10:V$47, V$1, FALSE)+VLOOKUP(Z$129, $A$10:V$47, V$1, FALSE)+VLOOKUP(AA$129, $A$10:V$47, V$1, FALSE)+VLOOKUP(AB$129, $A$10:V$47, V$1, FALSE)-SUM(X$109:AB$109))))</f>
        <v>46333250</v>
      </c>
      <c r="X122" s="46">
        <f>IF(X$114+5&gt;$A$5, 0, MAX(0,  MIN( (X$111-50000000), (X$111-50000000)+VLOOKUP(Y$129, $A$10:W$47, W$1, FALSE) +VLOOKUP(Z$129, $A$10:W$47, W$1, FALSE)+VLOOKUP(AA$129, $A$10:W$47, W$1, FALSE)+VLOOKUP(AB$129, $A$10:W$47, W$1, FALSE)+VLOOKUP(AC$129, $A$10:W$47, W$1, FALSE)-SUM(Y$109:AC$109))))</f>
        <v>43644250</v>
      </c>
      <c r="Y122" s="46">
        <f>IF(Y$114+5&gt;$A$5, 0, MAX(0,  MIN( (Y$111-50000000), (Y$111-50000000)+VLOOKUP(Z$129, $A$10:X$47, X$1, FALSE) +VLOOKUP(AA$129, $A$10:X$47, X$1, FALSE)+VLOOKUP(AB$129, $A$10:X$47, X$1, FALSE)+VLOOKUP(AC$129, $A$10:X$47, X$1, FALSE)+VLOOKUP(AD$129, $A$10:X$47, X$1, FALSE)-SUM(Z$109:AD$109))))</f>
        <v>42699250</v>
      </c>
      <c r="Z122" s="46">
        <f>IF(Z$114+5&gt;$A$5, 0, MAX(0,  MIN( (Z$111-50000000), (Z$111-50000000)+VLOOKUP(AA$129, $A$10:Y$47, Y$1, FALSE) +VLOOKUP(AB$129, $A$10:Y$47, Y$1, FALSE)+VLOOKUP(AC$129, $A$10:Y$47, Y$1, FALSE)+VLOOKUP(AD$129, $A$10:Y$47, Y$1, FALSE)+VLOOKUP(AE$129, $A$10:Y$47, Y$1, FALSE)-SUM(AA$109:AE$109))))</f>
        <v>56090250</v>
      </c>
      <c r="AA122" s="46">
        <f>IF(AA$114+5&gt;$A$5, 0, MAX(0,  MIN( (AA$111-50000000), (AA$111-50000000)+VLOOKUP(AB$129, $A$10:Z$47, Z$1, FALSE) +VLOOKUP(AC$129, $A$10:Z$47, Z$1, FALSE)+VLOOKUP(AD$129, $A$10:Z$47, Z$1, FALSE)+VLOOKUP(AE$129, $A$10:Z$47, Z$1, FALSE)+VLOOKUP(AF$129, $A$10:Z$47, Z$1, FALSE)-SUM(AB$109:AF$109))))</f>
        <v>8114250</v>
      </c>
      <c r="AB122" s="46">
        <f>IF(AB$114+5&gt;$A$5, 0, MAX(0,  MIN( (AB$111-50000000), (AB$111-50000000)+VLOOKUP(AC$129, $A$10:AA$47, AA$1, FALSE) +VLOOKUP(AD$129, $A$10:AA$47, AA$1, FALSE)+VLOOKUP(AE$129, $A$10:AA$47, AA$1, FALSE)+VLOOKUP(AF$129, $A$10:AA$47, AA$1, FALSE)+VLOOKUP(AG$129, $A$10:AA$47, AA$1, FALSE)-SUM(AC$109:AG$109))))</f>
        <v>38845250</v>
      </c>
      <c r="AC122" s="46">
        <f>IF(AC$114+5&gt;$A$5, 0, MAX(0,  MIN( (AC$111-50000000), (AC$111-50000000)+VLOOKUP(AD$129, $A$10:AB$47, AB$1, FALSE) +VLOOKUP(AE$129, $A$10:AB$47, AB$1, FALSE)+VLOOKUP(AF$129, $A$10:AB$47, AB$1, FALSE)+VLOOKUP(AG$129, $A$10:AB$47, AB$1, FALSE)+VLOOKUP(AH$129, $A$10:AB$47, AB$1, FALSE)-SUM(AD$109:AH$109))))</f>
        <v>36354250</v>
      </c>
      <c r="AD122" s="46">
        <f>IF(AD$114+5&gt;$A$5, 0, MAX(0,  MIN( (AD$111-50000000), (AD$111-50000000)+VLOOKUP(AE$129, $A$10:AC$47, AC$1, FALSE) +VLOOKUP(AF$129, $A$10:AC$47, AC$1, FALSE)+VLOOKUP(AG$129, $A$10:AC$47, AC$1, FALSE)+VLOOKUP(AH$129, $A$10:AC$47, AC$1, FALSE)+VLOOKUP(AI$129, $A$10:AC$47, AC$1, FALSE)-SUM(AE$109:AI$109))))</f>
        <v>42142250</v>
      </c>
      <c r="AE122" s="46">
        <f>IF(AE$114+5&gt;$A$5, 0, MAX(0,  MIN( (AE$111-50000000), (AE$111-50000000)+VLOOKUP(AF$129, $A$10:AD$47, AD$1, FALSE) +VLOOKUP(AG$129, $A$10:AD$47, AD$1, FALSE)+VLOOKUP(AH$129, $A$10:AD$47, AD$1, FALSE)+VLOOKUP(AI$129, $A$10:AD$47, AD$1, FALSE)+VLOOKUP(AJ$129, $A$10:AD$47, AD$1, FALSE)-SUM(AF$109:AJ$109))))</f>
        <v>0</v>
      </c>
      <c r="AF122" s="46">
        <f>IF(AF$114+5&gt;$A$5, 0, MAX(0,  MIN( (AF$111-50000000), (AF$111-50000000)+VLOOKUP(AG$129, $A$10:AE$47, AE$1, FALSE) +VLOOKUP(AH$129, $A$10:AE$47, AE$1, FALSE)+VLOOKUP(AI$129, $A$10:AE$47, AE$1, FALSE)+VLOOKUP(AJ$129, $A$10:AE$47, AE$1, FALSE)+VLOOKUP(AK$129, $A$10:AE$47, AE$1, FALSE)-SUM(AG$109:AK$109))))</f>
        <v>0</v>
      </c>
      <c r="AG122" s="46">
        <f>IF(AG$114+5&gt;$A$5, 0, MAX(0,  MIN( (AG$111-50000000), (AG$111-50000000)+VLOOKUP(AH$129, $A$10:AF$47, AF$1, FALSE) +VLOOKUP(AI$129, $A$10:AF$47, AF$1, FALSE)+VLOOKUP(AJ$129, $A$10:AF$47, AF$1, FALSE)+VLOOKUP(AK$129, $A$10:AF$47, AF$1, FALSE)+VLOOKUP(AL$129, $A$10:AF$47, AF$1, FALSE)-SUM(AH$109:AL$109))))</f>
        <v>0</v>
      </c>
      <c r="AH122" s="46">
        <f>IF(AH$114+5&gt;$A$5, 0, MAX(0,  MIN( (AH$111-50000000), (AH$111-50000000)+VLOOKUP(AI$129, $A$10:AG$47, AG$1, FALSE) +VLOOKUP(AJ$129, $A$10:AG$47, AG$1, FALSE)+VLOOKUP(AK$129, $A$10:AG$47, AG$1, FALSE)+VLOOKUP(AL$129, $A$10:AG$47, AG$1, FALSE)+VLOOKUP(AM$129, $A$10:AG$47, AG$1, FALSE)-SUM(AI$109:AM$109))))</f>
        <v>0</v>
      </c>
      <c r="AI122" s="46">
        <f>IF(AI$114+5&gt;$A$5, 0, MAX(0,  MIN( (AI$111-50000000), (AI$111-50000000)+VLOOKUP(AJ$129, $A$10:AH$47, AH$1, FALSE) +VLOOKUP(AK$129, $A$10:AH$47, AH$1, FALSE)+VLOOKUP(AL$129, $A$10:AH$47, AH$1, FALSE)+VLOOKUP(AM$129, $A$10:AH$47, AH$1, FALSE)+VLOOKUP(#REF!, $A$10:AH$47, AH$1, FALSE)-SUM(AJ$109:AM$109))))</f>
        <v>0</v>
      </c>
      <c r="AJ122" s="46">
        <f>IF(AJ$114+5&gt;$A$5, 0, MAX(0,  MIN( (AJ$111-50000000), (AJ$111-50000000)+VLOOKUP(AK$129, $A$10:AI$47, AI$1, FALSE) +VLOOKUP(AL$129, $A$10:AI$47, AI$1, FALSE)+VLOOKUP(AM$129, $A$10:AI$47, AI$1, FALSE)+VLOOKUP(#REF!, $A$10:AI$47, AI$1, FALSE)+VLOOKUP(#REF!, $A$10:AI$47, AI$1, FALSE)-SUM(AK$109:AM$109))))</f>
        <v>0</v>
      </c>
      <c r="AK122" s="46">
        <f>IF(AK$114+5&gt;$A$5, 0, MAX(0,  MIN( (AK$111-50000000), (AK$111-50000000)+VLOOKUP(AL$129, $A$10:AJ$47, AJ$1, FALSE) +VLOOKUP(AM$129, $A$10:AJ$47, AJ$1, FALSE)+VLOOKUP(#REF!, $A$10:AJ$47, AJ$1, FALSE)+VLOOKUP(#REF!, $A$10:AJ$47, AJ$1, FALSE)+VLOOKUP(#REF!, $A$10:AJ$47, AJ$1, FALSE)-SUM(AL$109:AM$109))))</f>
        <v>0</v>
      </c>
      <c r="AL122" s="46">
        <f>IF(AL$114+5&gt;$A$5, 0, MAX(0,  MIN( (AL$111-50000000), (AL$111-50000000)+VLOOKUP(AM$129, $A$10:AK$47, AK$1, FALSE) +VLOOKUP(#REF!, $A$10:AK$47, AK$1, FALSE)+VLOOKUP(#REF!, $A$10:AK$47, AK$1, FALSE)+VLOOKUP(#REF!, $A$10:AK$47, AK$1, FALSE)+VLOOKUP(#REF!, $A$10:AK$47, AK$1, FALSE)-SUM(AM$109:AM$109))))</f>
        <v>0</v>
      </c>
      <c r="AM122" s="46">
        <f>IF(AM$114+5&gt;$A$5, 0, MAX(0,  MIN( (AM$111-50000000), (AM$111-50000000)+VLOOKUP(#REF!, $A$10:AL$47, AL$1, FALSE) +VLOOKUP(#REF!, $A$10:AL$47, AL$1, FALSE)+VLOOKUP(#REF!, $A$10:AL$47, AL$1, FALSE)+VLOOKUP(#REF!, $A$10:AL$47, AL$1, FALSE)+VLOOKUP(#REF!, $A$10:AL$47, AL$1, FALSE)-SUM(#REF!))))</f>
        <v>0</v>
      </c>
      <c r="AP122" s="10">
        <f t="shared" si="102"/>
        <v>9</v>
      </c>
    </row>
    <row r="123" spans="1:42" outlineLevel="1">
      <c r="A123" t="s">
        <v>112</v>
      </c>
      <c r="B123" s="46"/>
      <c r="C123" s="46">
        <f>IF(C$114+5&gt;$A$5, 0, MAX(0,  MIN( (C$111-50000000), (C$111-50000000)+VLOOKUP(D$129, $A$10:B$47, B$1, FALSE) +VLOOKUP(E$129, $A$10:B$47, B$1, FALSE)+VLOOKUP(F$129, $A$10:B$47, B$1, FALSE)+VLOOKUP(G$129, $A$10:B$47, B$1, FALSE)+VLOOKUP(H$129, $A$10:B$47, B$1, FALSE)+VLOOKUP(I$129, $A$10:B$47, B$1, FALSE)-SUM(D$109:I$109))))</f>
        <v>144177650</v>
      </c>
      <c r="D123" s="46">
        <f>IF(D$114+5&gt;$A$5, 0, MAX(0,  MIN( (D$111-50000000), (D$111-50000000)+VLOOKUP(E$129, $A$10:C$47, C$1, FALSE) +VLOOKUP(F$129, $A$10:C$47, C$1, FALSE)+VLOOKUP(G$129, $A$10:C$47, C$1, FALSE)+VLOOKUP(H$129, $A$10:C$47, C$1, FALSE)+VLOOKUP(I$129, $A$10:C$47, C$1, FALSE)+VLOOKUP(J$129, $A$10:C$47, C$1, FALSE)-SUM(E$109:J$109))))</f>
        <v>162368550</v>
      </c>
      <c r="E123" s="46">
        <f>IF(E$114+5&gt;$A$5, 0, MAX(0,  MIN( (E$111-50000000), (E$111-50000000)+VLOOKUP(F$129, $A$10:D$47, D$1, FALSE) +VLOOKUP(G$129, $A$10:D$47, D$1, FALSE)+VLOOKUP(H$129, $A$10:D$47, D$1, FALSE)+VLOOKUP(I$129, $A$10:D$47, D$1, FALSE)+VLOOKUP(J$129, $A$10:D$47, D$1, FALSE)+VLOOKUP(K$129, $A$10:D$47, D$1, FALSE)-SUM(F$109:K$109))))</f>
        <v>173306650</v>
      </c>
      <c r="F123" s="46">
        <f>IF(F$114+5&gt;$A$5, 0, MAX(0,  MIN( (F$111-50000000), (F$111-50000000)+VLOOKUP(G$129, $A$10:E$47, E$1, FALSE) +VLOOKUP(H$129, $A$10:E$47, E$1, FALSE)+VLOOKUP(I$129, $A$10:E$47, E$1, FALSE)+VLOOKUP(J$129, $A$10:E$47, E$1, FALSE)+VLOOKUP(K$129, $A$10:E$47, E$1, FALSE)+VLOOKUP(L$129, $A$10:E$47, E$1, FALSE)-SUM(G$109:L$109))))</f>
        <v>112622495.47968519</v>
      </c>
      <c r="G123" s="46">
        <f>IF(G$114+5&gt;$A$5, 0, MAX(0,  MIN( (G$111-50000000), (G$111-50000000)+VLOOKUP(H$129, $A$10:F$47, F$1, FALSE) +VLOOKUP(I$129, $A$10:F$47, F$1, FALSE)+VLOOKUP(J$129, $A$10:F$47, F$1, FALSE)+VLOOKUP(K$129, $A$10:F$47, F$1, FALSE)+VLOOKUP(L$129, $A$10:F$47, F$1, FALSE)+VLOOKUP(M$129, $A$10:F$47, F$1, FALSE)-SUM(H$109:M$109))))</f>
        <v>1593550</v>
      </c>
      <c r="H123" s="46">
        <f>IF(H$114+5&gt;$A$5, 0, MAX(0,  MIN( (H$111-50000000), (H$111-50000000)+VLOOKUP(I$129, $A$10:G$47, G$1, FALSE) +VLOOKUP(J$129, $A$10:G$47, G$1, FALSE)+VLOOKUP(K$129, $A$10:G$47, G$1, FALSE)+VLOOKUP(L$129, $A$10:G$47, G$1, FALSE)+VLOOKUP(M$129, $A$10:G$47, G$1, FALSE)+VLOOKUP(N$129, $A$10:G$47, G$1, FALSE)-SUM(I$109:N$109))))</f>
        <v>3226250</v>
      </c>
      <c r="I123" s="46">
        <f>IF(I$114+5&gt;$A$5, 0, MAX(0,  MIN( (I$111-50000000), (I$111-50000000)+VLOOKUP(J$129, $A$10:H$47, H$1, FALSE) +VLOOKUP(K$129, $A$10:H$47, H$1, FALSE)+VLOOKUP(L$129, $A$10:H$47, H$1, FALSE)+VLOOKUP(M$129, $A$10:H$47, H$1, FALSE)+VLOOKUP(N$129, $A$10:H$47, H$1, FALSE)+VLOOKUP(O$129, $A$10:H$47, H$1, FALSE)-SUM(J$109:O$109))))</f>
        <v>65643250</v>
      </c>
      <c r="J123" s="46">
        <f>IF(J$114+5&gt;$A$5, 0, MAX(0,  MIN( (J$111-50000000), (J$111-50000000)+VLOOKUP(K$129, $A$10:I$47, I$1, FALSE) +VLOOKUP(L$129, $A$10:I$47, I$1, FALSE)+VLOOKUP(M$129, $A$10:I$47, I$1, FALSE)+VLOOKUP(N$129, $A$10:I$47, I$1, FALSE)+VLOOKUP(O$129, $A$10:I$47, I$1, FALSE)+VLOOKUP(P$129, $A$10:I$47, I$1, FALSE)-SUM(K$109:P$109))))</f>
        <v>62781250</v>
      </c>
      <c r="K123" s="46">
        <f>IF(K$114+5&gt;$A$5, 0, MAX(0,  MIN( (K$111-50000000), (K$111-50000000)+VLOOKUP(L$129, $A$10:J$47, J$1, FALSE) +VLOOKUP(M$129, $A$10:J$47, J$1, FALSE)+VLOOKUP(N$129, $A$10:J$47, J$1, FALSE)+VLOOKUP(O$129, $A$10:J$47, J$1, FALSE)+VLOOKUP(P$129, $A$10:J$47, J$1, FALSE)+VLOOKUP(Q$129, $A$10:J$47, J$1, FALSE)-SUM(L$109:Q$109))))</f>
        <v>10720250</v>
      </c>
      <c r="L123" s="46">
        <f>IF(L$114+5&gt;$A$5, 0, MAX(0,  MIN( (L$111-50000000), (L$111-50000000)+VLOOKUP(M$129, $A$10:K$47, K$1, FALSE) +VLOOKUP(N$129, $A$10:K$47, K$1, FALSE)+VLOOKUP(O$129, $A$10:K$47, K$1, FALSE)+VLOOKUP(P$129, $A$10:K$47, K$1, FALSE)+VLOOKUP(Q$129, $A$10:K$47, K$1, FALSE)+VLOOKUP(R$129, $A$10:K$47, K$1, FALSE)-SUM(M$109:R$109))))</f>
        <v>9038495.4796851724</v>
      </c>
      <c r="M123" s="46">
        <f>IF(M$114+5&gt;$A$5, 0, MAX(0,  MIN( (M$111-50000000), (M$111-50000000)+VLOOKUP(N$129, $A$10:L$47, L$1, FALSE) +VLOOKUP(O$129, $A$10:L$47, L$1, FALSE)+VLOOKUP(P$129, $A$10:L$47, L$1, FALSE)+VLOOKUP(Q$129, $A$10:L$47, L$1, FALSE)+VLOOKUP(R$129, $A$10:L$47, L$1, FALSE)+VLOOKUP(S$129, $A$10:L$47, L$1, FALSE)-SUM(N$109:S$109))))</f>
        <v>22336004.520314828</v>
      </c>
      <c r="N123" s="46">
        <f>IF(N$114+5&gt;$A$5, 0, MAX(0,  MIN( (N$111-50000000), (N$111-50000000)+VLOOKUP(O$129, $A$10:M$47, M$1, FALSE) +VLOOKUP(P$129, $A$10:M$47, M$1, FALSE)+VLOOKUP(Q$129, $A$10:M$47, M$1, FALSE)+VLOOKUP(R$129, $A$10:M$47, M$1, FALSE)+VLOOKUP(S$129, $A$10:M$47, M$1, FALSE)+VLOOKUP(T$129, $A$10:M$47, M$1, FALSE)-SUM(O$109:T$109))))</f>
        <v>5989250</v>
      </c>
      <c r="O123" s="46">
        <f>IF(O$114+5&gt;$A$5, 0, MAX(0,  MIN( (O$111-50000000), (O$111-50000000)+VLOOKUP(P$129, $A$10:N$47, N$1, FALSE) +VLOOKUP(Q$129, $A$10:N$47, N$1, FALSE)+VLOOKUP(R$129, $A$10:N$47, N$1, FALSE)+VLOOKUP(S$129, $A$10:N$47, N$1, FALSE)+VLOOKUP(T$129, $A$10:N$47, N$1, FALSE)+VLOOKUP(U$129, $A$10:N$47, N$1, FALSE)-SUM(P$109:U$109))))</f>
        <v>56184250</v>
      </c>
      <c r="P123" s="46">
        <f>IF(P$114+5&gt;$A$5, 0, MAX(0,  MIN( (P$111-50000000), (P$111-50000000)+VLOOKUP(Q$129, $A$10:O$47, O$1, FALSE) +VLOOKUP(R$129, $A$10:O$47, O$1, FALSE)+VLOOKUP(S$129, $A$10:O$47, O$1, FALSE)+VLOOKUP(T$129, $A$10:O$47, O$1, FALSE)+VLOOKUP(U$129, $A$10:O$47, O$1, FALSE)+VLOOKUP(V$129, $A$10:O$47, O$1, FALSE)-SUM(Q$109:V$109))))</f>
        <v>1437250</v>
      </c>
      <c r="Q123" s="46">
        <f>IF(Q$114+5&gt;$A$5, 0, MAX(0,  MIN( (Q$111-50000000), (Q$111-50000000)+VLOOKUP(R$129, $A$10:P$47, P$1, FALSE) +VLOOKUP(S$129, $A$10:P$47, P$1, FALSE)+VLOOKUP(T$129, $A$10:P$47, P$1, FALSE)+VLOOKUP(U$129, $A$10:P$47, P$1, FALSE)+VLOOKUP(V$129, $A$10:P$47, P$1, FALSE)+VLOOKUP(W$129, $A$10:P$47, P$1, FALSE)-SUM(R$109:W$109))))</f>
        <v>52881250</v>
      </c>
      <c r="R123" s="46">
        <f>IF(R$114+5&gt;$A$5, 0, MAX(0,  MIN( (R$111-50000000), (R$111-50000000)+VLOOKUP(S$129, $A$10:Q$47, Q$1, FALSE) +VLOOKUP(T$129, $A$10:Q$47, Q$1, FALSE)+VLOOKUP(U$129, $A$10:Q$47, Q$1, FALSE)+VLOOKUP(V$129, $A$10:Q$47, Q$1, FALSE)+VLOOKUP(W$129, $A$10:Q$47, Q$1, FALSE)+VLOOKUP(X$129, $A$10:Q$47, Q$1, FALSE)-SUM(S$109:X$109))))</f>
        <v>49279250</v>
      </c>
      <c r="S123" s="46">
        <f>IF(S$114+5&gt;$A$5, 0, MAX(0,  MIN( (S$111-50000000), (S$111-50000000)+VLOOKUP(T$129, $A$10:R$47, R$1, FALSE) +VLOOKUP(U$129, $A$10:R$47, R$1, FALSE)+VLOOKUP(V$129, $A$10:R$47, R$1, FALSE)+VLOOKUP(W$129, $A$10:R$47, R$1, FALSE)+VLOOKUP(X$129, $A$10:R$47, R$1, FALSE)+VLOOKUP(Y$129, $A$10:R$47, R$1, FALSE)-SUM(T$109:Y$109))))</f>
        <v>48121250</v>
      </c>
      <c r="T123" s="46">
        <f>IF(T$114+5&gt;$A$5, 0, MAX(0,  MIN( (T$111-50000000), (T$111-50000000)+VLOOKUP(U$129, $A$10:S$47, S$1, FALSE) +VLOOKUP(V$129, $A$10:S$47, S$1, FALSE)+VLOOKUP(W$129, $A$10:S$47, S$1, FALSE)+VLOOKUP(X$129, $A$10:S$47, S$1, FALSE)+VLOOKUP(Y$129, $A$10:S$47, S$1, FALSE)+VLOOKUP(Z$129, $A$10:S$47, S$1, FALSE)-SUM(U$109:Z$109))))</f>
        <v>47266250</v>
      </c>
      <c r="U123" s="46">
        <f>IF(U$114+5&gt;$A$5, 0, MAX(0,  MIN( (U$111-50000000), (U$111-50000000)+VLOOKUP(V$129, $A$10:T$47, T$1, FALSE) +VLOOKUP(W$129, $A$10:T$47, T$1, FALSE)+VLOOKUP(X$129, $A$10:T$47, T$1, FALSE)+VLOOKUP(Y$129, $A$10:T$47, T$1, FALSE)+VLOOKUP(Z$129, $A$10:T$47, T$1, FALSE)+VLOOKUP(AA$129, $A$10:T$47, T$1, FALSE)-SUM(V$109:AA$109))))</f>
        <v>1843250</v>
      </c>
      <c r="V123" s="46">
        <f>IF(V$114+5&gt;$A$5, 0, MAX(0,  MIN( (V$111-50000000), (V$111-50000000)+VLOOKUP(W$129, $A$10:U$47, U$1, FALSE) +VLOOKUP(X$129, $A$10:U$47, U$1, FALSE)+VLOOKUP(Y$129, $A$10:U$47, U$1, FALSE)+VLOOKUP(Z$129, $A$10:U$47, U$1, FALSE)+VLOOKUP(AA$129, $A$10:U$47, U$1, FALSE)+VLOOKUP(AB$129, $A$10:U$47, U$1, FALSE)-SUM(W$109:AB$109))))</f>
        <v>47187250</v>
      </c>
      <c r="W123" s="46">
        <f>IF(W$114+5&gt;$A$5, 0, MAX(0,  MIN( (W$111-50000000), (W$111-50000000)+VLOOKUP(X$129, $A$10:V$47, V$1, FALSE) +VLOOKUP(Y$129, $A$10:V$47, V$1, FALSE)+VLOOKUP(Z$129, $A$10:V$47, V$1, FALSE)+VLOOKUP(AA$129, $A$10:V$47, V$1, FALSE)+VLOOKUP(AB$129, $A$10:V$47, V$1, FALSE)+VLOOKUP(AC$129, $A$10:V$47, V$1, FALSE)-SUM(X$109:AC$109))))</f>
        <v>46333250</v>
      </c>
      <c r="X123" s="46">
        <f>IF(X$114+5&gt;$A$5, 0, MAX(0,  MIN( (X$111-50000000), (X$111-50000000)+VLOOKUP(Y$129, $A$10:W$47, W$1, FALSE) +VLOOKUP(Z$129, $A$10:W$47, W$1, FALSE)+VLOOKUP(AA$129, $A$10:W$47, W$1, FALSE)+VLOOKUP(AB$129, $A$10:W$47, W$1, FALSE)+VLOOKUP(AC$129, $A$10:W$47, W$1, FALSE)+VLOOKUP(AD$129, $A$10:W$47, W$1, FALSE)-SUM(Y$109:AD$109))))</f>
        <v>43644250</v>
      </c>
      <c r="Y123" s="46">
        <f>IF(Y$114+5&gt;$A$5, 0, MAX(0,  MIN( (Y$111-50000000), (Y$111-50000000)+VLOOKUP(Z$129, $A$10:X$47, X$1, FALSE) +VLOOKUP(AA$129, $A$10:X$47, X$1, FALSE)+VLOOKUP(AB$129, $A$10:X$47, X$1, FALSE)+VLOOKUP(AC$129, $A$10:X$47, X$1, FALSE)+VLOOKUP(AD$129, $A$10:X$47, X$1, FALSE)+VLOOKUP(AE$129, $A$10:X$47, X$1, FALSE)-SUM(Z$109:AE$109))))</f>
        <v>42699250</v>
      </c>
      <c r="Z123" s="46">
        <f>IF(Z$114+5&gt;$A$5, 0, MAX(0,  MIN( (Z$111-50000000), (Z$111-50000000)+VLOOKUP(AA$129, $A$10:Y$47, Y$1, FALSE) +VLOOKUP(AB$129, $A$10:Y$47, Y$1, FALSE)+VLOOKUP(AC$129, $A$10:Y$47, Y$1, FALSE)+VLOOKUP(AD$129, $A$10:Y$47, Y$1, FALSE)+VLOOKUP(AE$129, $A$10:Y$47, Y$1, FALSE)+VLOOKUP(AF$129, $A$10:Y$47, Y$1, FALSE)-SUM(AA$109:AF$109))))</f>
        <v>78098250</v>
      </c>
      <c r="AA123" s="46">
        <f>IF(AA$114+5&gt;$A$5, 0, MAX(0,  MIN( (AA$111-50000000), (AA$111-50000000)+VLOOKUP(AB$129, $A$10:Z$47, Z$1, FALSE) +VLOOKUP(AC$129, $A$10:Z$47, Z$1, FALSE)+VLOOKUP(AD$129, $A$10:Z$47, Z$1, FALSE)+VLOOKUP(AE$129, $A$10:Z$47, Z$1, FALSE)+VLOOKUP(AF$129, $A$10:Z$47, Z$1, FALSE)+VLOOKUP(AG$129, $A$10:Z$47, Z$1, FALSE)-SUM(AB$109:AG$109))))</f>
        <v>8114250</v>
      </c>
      <c r="AB123" s="46">
        <f>IF(AB$114+5&gt;$A$5, 0, MAX(0,  MIN( (AB$111-50000000), (AB$111-50000000)+VLOOKUP(AC$129, $A$10:AA$47, AA$1, FALSE) +VLOOKUP(AD$129, $A$10:AA$47, AA$1, FALSE)+VLOOKUP(AE$129, $A$10:AA$47, AA$1, FALSE)+VLOOKUP(AF$129, $A$10:AA$47, AA$1, FALSE)+VLOOKUP(AG$129, $A$10:AA$47, AA$1, FALSE)+VLOOKUP(AH$129, $A$10:AA$47, AA$1, FALSE)-SUM(AC$109:AH$109))))</f>
        <v>38845250</v>
      </c>
      <c r="AC123" s="46">
        <f>IF(AC$114+5&gt;$A$5, 0, MAX(0,  MIN( (AC$111-50000000), (AC$111-50000000)+VLOOKUP(AD$129, $A$10:AB$47, AB$1, FALSE) +VLOOKUP(AE$129, $A$10:AB$47, AB$1, FALSE)+VLOOKUP(AF$129, $A$10:AB$47, AB$1, FALSE)+VLOOKUP(AG$129, $A$10:AB$47, AB$1, FALSE)+VLOOKUP(AH$129, $A$10:AB$47, AB$1, FALSE)+VLOOKUP(AI$129, $A$10:AB$47, AB$1, FALSE)-SUM(AD$109:AI$109))))</f>
        <v>36354250</v>
      </c>
      <c r="AD123" s="46">
        <f>IF(AD$114+5&gt;$A$5, 0, MAX(0,  MIN( (AD$111-50000000), (AD$111-50000000)+VLOOKUP(AE$129, $A$10:AC$47, AC$1, FALSE) +VLOOKUP(AF$129, $A$10:AC$47, AC$1, FALSE)+VLOOKUP(AG$129, $A$10:AC$47, AC$1, FALSE)+VLOOKUP(AH$129, $A$10:AC$47, AC$1, FALSE)+VLOOKUP(AI$129, $A$10:AC$47, AC$1, FALSE)+VLOOKUP(AJ$129, $A$10:AC$47, AC$1, FALSE)-SUM(AE$109:AJ$109))))</f>
        <v>0</v>
      </c>
      <c r="AE123" s="46">
        <f>IF(AE$114+5&gt;$A$5, 0, MAX(0,  MIN( (AE$111-50000000), (AE$111-50000000)+VLOOKUP(AF$129, $A$10:AD$47, AD$1, FALSE) +VLOOKUP(AG$129, $A$10:AD$47, AD$1, FALSE)+VLOOKUP(AH$129, $A$10:AD$47, AD$1, FALSE)+VLOOKUP(AI$129, $A$10:AD$47, AD$1, FALSE)+VLOOKUP(AJ$129, $A$10:AD$47, AD$1, FALSE)+VLOOKUP(AK$129, $A$10:AD$47, AD$1, FALSE)-SUM(AF$109:AK$109))))</f>
        <v>0</v>
      </c>
      <c r="AF123" s="46">
        <f>IF(AF$114+5&gt;$A$5, 0, MAX(0,  MIN( (AF$111-50000000), (AF$111-50000000)+VLOOKUP(AG$129, $A$10:AE$47, AE$1, FALSE) +VLOOKUP(AH$129, $A$10:AE$47, AE$1, FALSE)+VLOOKUP(AI$129, $A$10:AE$47, AE$1, FALSE)+VLOOKUP(AJ$129, $A$10:AE$47, AE$1, FALSE)+VLOOKUP(AK$129, $A$10:AE$47, AE$1, FALSE)+VLOOKUP(AL$129, $A$10:AE$47, AE$1, FALSE)-SUM(AG$109:AL$109))))</f>
        <v>0</v>
      </c>
      <c r="AG123" s="46">
        <f>IF(AG$114+5&gt;$A$5, 0, MAX(0,  MIN( (AG$111-50000000), (AG$111-50000000)+VLOOKUP(AH$129, $A$10:AF$47, AF$1, FALSE) +VLOOKUP(AI$129, $A$10:AF$47, AF$1, FALSE)+VLOOKUP(AJ$129, $A$10:AF$47, AF$1, FALSE)+VLOOKUP(AK$129, $A$10:AF$47, AF$1, FALSE)+VLOOKUP(AL$129, $A$10:AF$47, AF$1, FALSE)+VLOOKUP(AM$129, $A$10:AF$47, AF$1, FALSE)-SUM(AH$109:AM$109))))</f>
        <v>0</v>
      </c>
      <c r="AH123" s="46">
        <f>IF(AH$114+5&gt;$A$5, 0, MAX(0,  MIN( (AH$111-50000000), (AH$111-50000000)+VLOOKUP(AI$129, $A$10:AG$47, AG$1, FALSE) +VLOOKUP(AJ$129, $A$10:AG$47, AG$1, FALSE)+VLOOKUP(AK$129, $A$10:AG$47, AG$1, FALSE)+VLOOKUP(AL$129, $A$10:AG$47, AG$1, FALSE)+VLOOKUP(AM$129, $A$10:AG$47, AG$1, FALSE)-SUM(AI$109:AM$109))))</f>
        <v>0</v>
      </c>
      <c r="AI123" s="46">
        <f>IF(AI$114+5&gt;$A$5, 0, MAX(0,  MIN( (AI$111-50000000), (AI$111-50000000)+VLOOKUP(AJ$129, $A$10:AH$47, AH$1, FALSE) +VLOOKUP(AK$129, $A$10:AH$47, AH$1, FALSE)+VLOOKUP(AL$129, $A$10:AH$47, AH$1, FALSE)+VLOOKUP(AM$129, $A$10:AH$47, AH$1, FALSE)+VLOOKUP(#REF!, $A$10:AH$47, AH$1, FALSE)+VLOOKUP(#REF!, $A$10:AH$47, AH$1, FALSE)-SUM(AJ$109:AM$109))))</f>
        <v>0</v>
      </c>
      <c r="AJ123" s="46">
        <f>IF(AJ$114+5&gt;$A$5, 0, MAX(0,  MIN( (AJ$111-50000000), (AJ$111-50000000)+VLOOKUP(AK$129, $A$10:AI$47, AI$1, FALSE) +VLOOKUP(AL$129, $A$10:AI$47, AI$1, FALSE)+VLOOKUP(AM$129, $A$10:AI$47, AI$1, FALSE)+VLOOKUP(#REF!, $A$10:AI$47, AI$1, FALSE)+VLOOKUP(#REF!, $A$10:AI$47, AI$1, FALSE)+VLOOKUP(#REF!, $A$10:AI$47, AI$1, FALSE)-SUM(AK$109:AM$109))))</f>
        <v>0</v>
      </c>
      <c r="AK123" s="46">
        <f>IF(AK$114+5&gt;$A$5, 0, MAX(0,  MIN( (AK$111-50000000), (AK$111-50000000)+VLOOKUP(AL$129, $A$10:AJ$47, AJ$1, FALSE) +VLOOKUP(AM$129, $A$10:AJ$47, AJ$1, FALSE)+VLOOKUP(#REF!, $A$10:AJ$47, AJ$1, FALSE)+VLOOKUP(#REF!, $A$10:AJ$47, AJ$1, FALSE)+VLOOKUP(#REF!, $A$10:AJ$47, AJ$1, FALSE)+VLOOKUP(#REF!, $A$10:AJ$47, AJ$1, FALSE)-SUM(AL$109:AM$109))))</f>
        <v>0</v>
      </c>
      <c r="AL123" s="46">
        <f>IF(AL$114+5&gt;$A$5, 0, MAX(0,  MIN( (AL$111-50000000), (AL$111-50000000)+VLOOKUP(AM$129, $A$10:AK$47, AK$1, FALSE) +VLOOKUP(#REF!, $A$10:AK$47, AK$1, FALSE)+VLOOKUP(#REF!, $A$10:AK$47, AK$1, FALSE)+VLOOKUP(#REF!, $A$10:AK$47, AK$1, FALSE)+VLOOKUP(#REF!, $A$10:AK$47, AK$1, FALSE)+VLOOKUP(#REF!, $A$10:AK$47, AK$1, FALSE)-SUM(AM$109:AM$109))))</f>
        <v>0</v>
      </c>
      <c r="AM123" s="46">
        <f>IF(AM$114+5&gt;$A$5, 0, MAX(0,  MIN( (AM$111-50000000), (AM$111-50000000)+VLOOKUP(#REF!, $A$10:AL$47, AL$1, FALSE) +VLOOKUP(#REF!, $A$10:AL$47, AL$1, FALSE)+VLOOKUP(#REF!, $A$10:AL$47, AL$1, FALSE)+VLOOKUP(#REF!, $A$10:AL$47, AL$1, FALSE)+VLOOKUP(#REF!, $A$10:AL$47, AL$1, FALSE)+VLOOKUP(#REF!, $A$10:AL$47, AL$1, FALSE)-SUM(#REF!))))</f>
        <v>0</v>
      </c>
      <c r="AP123" s="10">
        <f t="shared" si="102"/>
        <v>10</v>
      </c>
    </row>
    <row r="124" spans="1:42" outlineLevel="1">
      <c r="A124" t="s">
        <v>122</v>
      </c>
      <c r="B124" s="194"/>
      <c r="C124" s="194">
        <f>IF(Assumptions!$C53=Assumptions!$A57, Assumptions!$F57, IF( Assumptions!$C53=Assumptions!$A58, Assumptions!$F58, Assumptions!$F56))</f>
        <v>80000000</v>
      </c>
      <c r="D124" s="194">
        <f>IF(Assumptions!$C53=Assumptions!$A57, Assumptions!$F57, IF( Assumptions!$C53=Assumptions!$A58, Assumptions!$F58, Assumptions!$F56))</f>
        <v>80000000</v>
      </c>
      <c r="E124" s="194">
        <f>IF(Assumptions!$C53=Assumptions!$A57, Assumptions!$F57, IF( Assumptions!$C53=Assumptions!$A58, Assumptions!$F58, Assumptions!$F56))</f>
        <v>80000000</v>
      </c>
      <c r="F124" s="194">
        <f>IF(Assumptions!$C53=Assumptions!$A57, Assumptions!$F57, IF( Assumptions!$C53=Assumptions!$A58, Assumptions!$F58, Assumptions!$F56))</f>
        <v>80000000</v>
      </c>
      <c r="G124" s="194">
        <f>IF(Assumptions!$C53=Assumptions!$A57, Assumptions!$F57, IF( Assumptions!$C53=Assumptions!$A58, Assumptions!$F58, Assumptions!$F56))</f>
        <v>80000000</v>
      </c>
      <c r="H124" s="194">
        <f>IF(Assumptions!$C53=Assumptions!$A57, Assumptions!$F57, IF( Assumptions!$C53=Assumptions!$A58, Assumptions!$F58, Assumptions!$F56))</f>
        <v>80000000</v>
      </c>
      <c r="I124" s="194">
        <f>IF(Assumptions!$C53=Assumptions!$A57, Assumptions!$F57, IF( Assumptions!$C53=Assumptions!$A58, Assumptions!$F58, Assumptions!$F56))</f>
        <v>80000000</v>
      </c>
      <c r="J124" s="194">
        <f>IF(Assumptions!$C53=Assumptions!$A57, Assumptions!$F57, IF( Assumptions!$C53=Assumptions!$A58, Assumptions!$F58, Assumptions!$F56))</f>
        <v>80000000</v>
      </c>
      <c r="K124" s="194">
        <f>IF(Assumptions!$C53=Assumptions!$A57, Assumptions!$F57, IF( Assumptions!$C53=Assumptions!$A58, Assumptions!$F58, Assumptions!$F56))</f>
        <v>80000000</v>
      </c>
      <c r="L124" s="194">
        <f>IF(Assumptions!$C53=Assumptions!$A57, Assumptions!$F57, IF( Assumptions!$C53=Assumptions!$A58, Assumptions!$F58, Assumptions!$F56))</f>
        <v>80000000</v>
      </c>
      <c r="M124" s="194">
        <f>IF(Assumptions!$C53=Assumptions!$A57, Assumptions!$F57, IF( Assumptions!$C53=Assumptions!$A58, Assumptions!$F58, Assumptions!$F56))</f>
        <v>80000000</v>
      </c>
      <c r="N124" s="194">
        <f>IF(Assumptions!$C53=Assumptions!$A57, Assumptions!$F57, IF( Assumptions!$C53=Assumptions!$A58, Assumptions!$F58, Assumptions!$F56))</f>
        <v>80000000</v>
      </c>
      <c r="O124" s="194">
        <f>IF(Assumptions!$C53=Assumptions!$A57, Assumptions!$F57, IF( Assumptions!$C53=Assumptions!$A58, Assumptions!$F58, Assumptions!$F56))</f>
        <v>80000000</v>
      </c>
      <c r="P124" s="194">
        <f>IF(Assumptions!$C53=Assumptions!$A57, Assumptions!$F57, IF( Assumptions!$C53=Assumptions!$A58, Assumptions!$F58, Assumptions!$F56))</f>
        <v>80000000</v>
      </c>
      <c r="Q124" s="194">
        <f>IF(Assumptions!$C53=Assumptions!$A57, Assumptions!$F57, IF( Assumptions!$C53=Assumptions!$A58, Assumptions!$F58, Assumptions!$F56))</f>
        <v>80000000</v>
      </c>
      <c r="R124" s="194">
        <f>IF(Assumptions!$C53=Assumptions!$A57, Assumptions!$F57, IF( Assumptions!$C53=Assumptions!$A58, Assumptions!$F58, Assumptions!$F56))</f>
        <v>80000000</v>
      </c>
      <c r="S124" s="194">
        <f>IF(Assumptions!$C53=Assumptions!$A57, Assumptions!$F57, IF( Assumptions!$C53=Assumptions!$A58, Assumptions!$F58, Assumptions!$F56))</f>
        <v>80000000</v>
      </c>
      <c r="T124" s="194">
        <f>IF(Assumptions!$C53=Assumptions!$A57, Assumptions!$F57, IF( Assumptions!$C53=Assumptions!$A58, Assumptions!$F58, Assumptions!$F56))</f>
        <v>80000000</v>
      </c>
      <c r="U124" s="194">
        <f>IF(Assumptions!$C53=Assumptions!$A57, Assumptions!$F57, IF( Assumptions!$C53=Assumptions!$A58, Assumptions!$F58, Assumptions!$F56))</f>
        <v>80000000</v>
      </c>
      <c r="V124" s="194">
        <f>IF(Assumptions!$C53=Assumptions!$A57, Assumptions!$F57, IF( Assumptions!$C53=Assumptions!$A58, Assumptions!$F58, Assumptions!$F56))</f>
        <v>80000000</v>
      </c>
      <c r="W124" s="194">
        <f>IF(Assumptions!$C53=Assumptions!$A57, Assumptions!$F57, IF( Assumptions!$C53=Assumptions!$A58, Assumptions!$F58, Assumptions!$F56))</f>
        <v>80000000</v>
      </c>
      <c r="X124" s="194">
        <f>IF(Assumptions!$C53=Assumptions!$A57, Assumptions!$F57, IF( Assumptions!$C53=Assumptions!$A58, Assumptions!$F58, Assumptions!$F56))</f>
        <v>80000000</v>
      </c>
      <c r="Y124" s="194">
        <f>IF(Assumptions!$C53=Assumptions!$A57, Assumptions!$F57, IF( Assumptions!$C53=Assumptions!$A58, Assumptions!$F58, Assumptions!$F56))</f>
        <v>80000000</v>
      </c>
      <c r="Z124" s="194">
        <f>IF(Assumptions!$C53=Assumptions!$A57, Assumptions!$F57, IF( Assumptions!$C53=Assumptions!$A58, Assumptions!$F58, Assumptions!$F56))</f>
        <v>80000000</v>
      </c>
      <c r="AA124" s="194">
        <f>IF(Assumptions!$C53=Assumptions!$A57, Assumptions!$F57, IF( Assumptions!$C53=Assumptions!$A58, Assumptions!$F58, Assumptions!$F56))</f>
        <v>80000000</v>
      </c>
      <c r="AB124" s="194">
        <f>IF(Assumptions!$C53=Assumptions!$A57, Assumptions!$F57, IF( Assumptions!$C53=Assumptions!$A58, Assumptions!$F58, Assumptions!$F56))</f>
        <v>80000000</v>
      </c>
      <c r="AC124" s="194">
        <f>IF(Assumptions!$C53=Assumptions!$A57, Assumptions!$F57, IF( Assumptions!$C53=Assumptions!$A58, Assumptions!$F58, Assumptions!$F56))</f>
        <v>80000000</v>
      </c>
      <c r="AD124" s="194">
        <f>IF(Assumptions!$C53=Assumptions!$A57, Assumptions!$F57, IF( Assumptions!$C53=Assumptions!$A58, Assumptions!$F58, Assumptions!$F56))</f>
        <v>80000000</v>
      </c>
      <c r="AE124" s="194">
        <f>IF(Assumptions!$C53=Assumptions!$A57, Assumptions!$F57, IF( Assumptions!$C53=Assumptions!$A58, Assumptions!$F58, Assumptions!$F56))</f>
        <v>80000000</v>
      </c>
      <c r="AF124" s="194">
        <f>IF(Assumptions!$C53=Assumptions!$A57, Assumptions!$F57, IF( Assumptions!$C53=Assumptions!$A58, Assumptions!$F58, Assumptions!$F56))</f>
        <v>80000000</v>
      </c>
      <c r="AG124" s="194">
        <f>IF(Assumptions!$C53=Assumptions!$A57, Assumptions!$F57, IF( Assumptions!$C53=Assumptions!$A58, Assumptions!$F58, Assumptions!$F56))</f>
        <v>80000000</v>
      </c>
      <c r="AH124" s="194">
        <f>IF(Assumptions!$C53=Assumptions!$A57, Assumptions!$F57, IF( Assumptions!$C53=Assumptions!$A58, Assumptions!$F58, Assumptions!$F56))</f>
        <v>80000000</v>
      </c>
      <c r="AI124" s="194">
        <f>IF(Assumptions!$C53=Assumptions!$A57, Assumptions!$F57, IF( Assumptions!$C53=Assumptions!$A58, Assumptions!$F58, Assumptions!$F56))</f>
        <v>80000000</v>
      </c>
      <c r="AJ124" s="194">
        <f>IF(Assumptions!$C53=Assumptions!$A57, Assumptions!$F57, IF( Assumptions!$C53=Assumptions!$A58, Assumptions!$F58, Assumptions!$F56))</f>
        <v>80000000</v>
      </c>
      <c r="AK124" s="194">
        <f>IF(Assumptions!$C53=Assumptions!$A57, Assumptions!$F57, IF( Assumptions!$C53=Assumptions!$A58, Assumptions!$F58, Assumptions!$F56))</f>
        <v>80000000</v>
      </c>
      <c r="AL124" s="194">
        <f>IF(Assumptions!$C53=Assumptions!$A57, Assumptions!$F57, IF( Assumptions!$C53=Assumptions!$A58, Assumptions!$F58, Assumptions!$F56))</f>
        <v>80000000</v>
      </c>
      <c r="AM124" s="194">
        <f>IF(Assumptions!$C53=Assumptions!$A57, Assumptions!$F57, IF( Assumptions!$C53=Assumptions!$A58, Assumptions!$F58, Assumptions!$F56))</f>
        <v>80000000</v>
      </c>
      <c r="AP124" s="10">
        <f t="shared" si="102"/>
        <v>11</v>
      </c>
    </row>
    <row r="125" spans="1:42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P125" s="10">
        <f t="shared" si="102"/>
        <v>12</v>
      </c>
    </row>
    <row r="126" spans="1:42">
      <c r="A126" t="s">
        <v>6</v>
      </c>
      <c r="B126" s="67"/>
      <c r="C126" s="46">
        <f t="shared" ref="C126:AH126" si="103">IF(MIN(C118:C123)&lt;10000000, 0, MAX(IF(C$116&gt;5, MROUND(MIN(C118:C124), 5000), IF(C$116=5, MROUND(MIN(C118:C122), 5000), IF(C$116=4, MROUND(MIN(C118:C121), 5000), IF(C$116=3, MROUND(MIN(C118:C120), 5000), IF(C$116=2, MROUND(C119, 5000), 0 ))))), 0))</f>
        <v>80000000</v>
      </c>
      <c r="D126" s="46">
        <f t="shared" si="103"/>
        <v>80000000</v>
      </c>
      <c r="E126" s="46">
        <f t="shared" si="103"/>
        <v>80000000</v>
      </c>
      <c r="F126" s="46">
        <f t="shared" si="103"/>
        <v>54710000</v>
      </c>
      <c r="G126" s="46">
        <f t="shared" si="103"/>
        <v>0</v>
      </c>
      <c r="H126" s="46">
        <f t="shared" si="103"/>
        <v>0</v>
      </c>
      <c r="I126" s="46">
        <f t="shared" si="103"/>
        <v>65645000</v>
      </c>
      <c r="J126" s="46">
        <f t="shared" si="103"/>
        <v>0</v>
      </c>
      <c r="K126" s="46">
        <f t="shared" si="103"/>
        <v>0</v>
      </c>
      <c r="L126" s="46">
        <f t="shared" si="103"/>
        <v>0</v>
      </c>
      <c r="M126" s="46">
        <f t="shared" si="103"/>
        <v>22335000</v>
      </c>
      <c r="N126" s="46">
        <f t="shared" si="103"/>
        <v>0</v>
      </c>
      <c r="O126" s="46">
        <f t="shared" si="103"/>
        <v>50120000</v>
      </c>
      <c r="P126" s="46">
        <f t="shared" si="103"/>
        <v>0</v>
      </c>
      <c r="Q126" s="46">
        <f t="shared" si="103"/>
        <v>52880000</v>
      </c>
      <c r="R126" s="46">
        <f t="shared" si="103"/>
        <v>49280000</v>
      </c>
      <c r="S126" s="46">
        <f t="shared" si="103"/>
        <v>48120000</v>
      </c>
      <c r="T126" s="46">
        <f t="shared" si="103"/>
        <v>45435000</v>
      </c>
      <c r="U126" s="46">
        <f t="shared" si="103"/>
        <v>0</v>
      </c>
      <c r="V126" s="46">
        <f t="shared" si="103"/>
        <v>47185000</v>
      </c>
      <c r="W126" s="46">
        <f t="shared" si="103"/>
        <v>46335000</v>
      </c>
      <c r="X126" s="46">
        <f t="shared" si="103"/>
        <v>40980000</v>
      </c>
      <c r="Y126" s="46">
        <f t="shared" si="103"/>
        <v>0</v>
      </c>
      <c r="Z126" s="46">
        <f t="shared" si="103"/>
        <v>0</v>
      </c>
      <c r="AA126" s="46">
        <f t="shared" si="103"/>
        <v>0</v>
      </c>
      <c r="AB126" s="46">
        <f t="shared" si="103"/>
        <v>38845000</v>
      </c>
      <c r="AC126" s="46">
        <f t="shared" si="103"/>
        <v>30235000</v>
      </c>
      <c r="AD126" s="46">
        <f t="shared" si="103"/>
        <v>0</v>
      </c>
      <c r="AE126" s="46">
        <f t="shared" si="103"/>
        <v>0</v>
      </c>
      <c r="AF126" s="46">
        <f t="shared" si="103"/>
        <v>0</v>
      </c>
      <c r="AG126" s="46">
        <f t="shared" si="103"/>
        <v>0</v>
      </c>
      <c r="AH126" s="46">
        <f t="shared" si="103"/>
        <v>0</v>
      </c>
      <c r="AI126" s="46">
        <f>IF(MIN(AI118:AI123)&lt;10000000, 0, MAX(IF(AI$116&gt;5, MROUND(MIN(AI118:AI124), 5000), IF(AI$116=5, MROUND(MIN(AI118:AI122), 5000), IF(AI$116=4, MROUND(MIN(AI118:AI121), 5000), IF(AI$116=3, MROUND(MIN(AI118:AI120), 5000), IF(AI$116=2, MROUND(AI119, 5000), 0 ))))), 0))</f>
        <v>0</v>
      </c>
      <c r="AJ126" s="46">
        <f>IF(MIN(AJ118:AJ123)&lt;10000000, 0, MAX(IF(AJ$116&gt;5, MROUND(MIN(AJ118:AJ124), 5000), IF(AJ$116=5, MROUND(MIN(AJ118:AJ122), 5000), IF(AJ$116=4, MROUND(MIN(AJ118:AJ121), 5000), IF(AJ$116=3, MROUND(MIN(AJ118:AJ120), 5000), IF(AJ$116=2, MROUND(AJ119, 5000), 0 ))))), 0))</f>
        <v>0</v>
      </c>
      <c r="AK126" s="46">
        <f>IF(MIN(AK118:AK123)&lt;10000000, 0, MAX(IF(AK$116&gt;5, MROUND(MIN(AK118:AK124), 5000), IF(AK$116=5, MROUND(MIN(AK118:AK122), 5000), IF(AK$116=4, MROUND(MIN(AK118:AK121), 5000), IF(AK$116=3, MROUND(MIN(AK118:AK120), 5000), IF(AK$116=2, MROUND(AK119, 5000), 0 ))))), 0))</f>
        <v>0</v>
      </c>
      <c r="AL126" s="46">
        <f>IF(MIN(AL118:AL123)&lt;10000000, 0, MAX(IF(AL$116&gt;5, MROUND(MIN(AL118:AL124), 5000), IF(AL$116=5, MROUND(MIN(AL118:AL122), 5000), IF(AL$116=4, MROUND(MIN(AL118:AL121), 5000), IF(AL$116=3, MROUND(MIN(AL118:AL120), 5000), IF(AL$116=2, MROUND(AL119, 5000), 0 ))))), 0))</f>
        <v>0</v>
      </c>
      <c r="AM126" s="46">
        <f>IF(MIN(AM118:AM123)&lt;10000000, 0, MAX(IF(AM$116&gt;5, MROUND(MIN(AM118:AM124), 5000), IF(AM$116=5, MROUND(MIN(AM118:AM122), 5000), IF(AM$116=4, MROUND(MIN(AM118:AM121), 5000), IF(AM$116=3, MROUND(MIN(AM118:AM120), 5000), IF(AM$116=2, MROUND(AM119, 5000), 0 ))))), 0))</f>
        <v>0</v>
      </c>
      <c r="AP126" s="10">
        <f t="shared" si="102"/>
        <v>13</v>
      </c>
    </row>
    <row r="127" spans="1:42">
      <c r="A127" s="53"/>
      <c r="Y127" s="15"/>
      <c r="Z127" s="15"/>
      <c r="AA127" s="15"/>
      <c r="AB127" s="15"/>
      <c r="AC127" s="15"/>
      <c r="AD127" s="15"/>
    </row>
    <row r="128" spans="1:42">
      <c r="A128" s="69"/>
      <c r="B128" s="70"/>
      <c r="C128" s="70" t="s">
        <v>37</v>
      </c>
      <c r="D128" s="70" t="s">
        <v>37</v>
      </c>
      <c r="E128" s="70" t="s">
        <v>37</v>
      </c>
      <c r="F128" s="70" t="s">
        <v>37</v>
      </c>
      <c r="G128" s="70" t="s">
        <v>37</v>
      </c>
      <c r="H128" s="70" t="s">
        <v>37</v>
      </c>
      <c r="I128" s="70" t="s">
        <v>37</v>
      </c>
      <c r="J128" s="70" t="s">
        <v>37</v>
      </c>
      <c r="K128" s="70" t="s">
        <v>37</v>
      </c>
      <c r="L128" s="70" t="s">
        <v>37</v>
      </c>
      <c r="M128" s="70" t="s">
        <v>37</v>
      </c>
      <c r="N128" s="70" t="s">
        <v>37</v>
      </c>
      <c r="O128" s="70" t="s">
        <v>37</v>
      </c>
      <c r="P128" s="70" t="s">
        <v>37</v>
      </c>
      <c r="Q128" s="70" t="s">
        <v>37</v>
      </c>
      <c r="R128" s="70" t="s">
        <v>37</v>
      </c>
      <c r="S128" s="70" t="s">
        <v>37</v>
      </c>
      <c r="T128" s="70" t="s">
        <v>37</v>
      </c>
      <c r="U128" s="70" t="s">
        <v>37</v>
      </c>
      <c r="V128" s="70" t="s">
        <v>37</v>
      </c>
      <c r="W128" s="70" t="s">
        <v>37</v>
      </c>
      <c r="X128" s="70" t="s">
        <v>37</v>
      </c>
      <c r="Y128" s="70" t="s">
        <v>37</v>
      </c>
      <c r="Z128" s="70" t="s">
        <v>37</v>
      </c>
      <c r="AA128" s="70" t="s">
        <v>37</v>
      </c>
      <c r="AB128" s="70" t="s">
        <v>37</v>
      </c>
      <c r="AC128" s="70" t="s">
        <v>37</v>
      </c>
      <c r="AD128" s="70" t="s">
        <v>37</v>
      </c>
      <c r="AE128" s="70" t="s">
        <v>37</v>
      </c>
      <c r="AF128" s="70" t="s">
        <v>37</v>
      </c>
      <c r="AG128" s="70" t="s">
        <v>37</v>
      </c>
      <c r="AH128" s="70" t="s">
        <v>37</v>
      </c>
      <c r="AI128" s="70" t="s">
        <v>37</v>
      </c>
      <c r="AJ128" s="70" t="s">
        <v>37</v>
      </c>
      <c r="AK128" s="70" t="s">
        <v>37</v>
      </c>
      <c r="AL128" s="70" t="s">
        <v>37</v>
      </c>
      <c r="AM128" s="70" t="s">
        <v>37</v>
      </c>
      <c r="AN128" s="71"/>
      <c r="AO128" s="71"/>
    </row>
    <row r="129" spans="1:39">
      <c r="A129" s="72" t="s">
        <v>38</v>
      </c>
      <c r="B129" s="45"/>
      <c r="C129" s="45">
        <f t="shared" ref="C129:AM129" si="104">C8</f>
        <v>2024</v>
      </c>
      <c r="D129" s="45">
        <f t="shared" si="104"/>
        <v>2025</v>
      </c>
      <c r="E129" s="45">
        <f t="shared" si="104"/>
        <v>2026</v>
      </c>
      <c r="F129" s="45">
        <f t="shared" si="104"/>
        <v>2027</v>
      </c>
      <c r="G129" s="45">
        <f t="shared" si="104"/>
        <v>2028</v>
      </c>
      <c r="H129" s="45">
        <f t="shared" si="104"/>
        <v>2029</v>
      </c>
      <c r="I129" s="45">
        <f t="shared" si="104"/>
        <v>2030</v>
      </c>
      <c r="J129" s="45">
        <f t="shared" si="104"/>
        <v>2031</v>
      </c>
      <c r="K129" s="45">
        <f t="shared" si="104"/>
        <v>2032</v>
      </c>
      <c r="L129" s="45">
        <f t="shared" si="104"/>
        <v>2033</v>
      </c>
      <c r="M129" s="45">
        <f t="shared" si="104"/>
        <v>2034</v>
      </c>
      <c r="N129" s="45">
        <f t="shared" si="104"/>
        <v>2035</v>
      </c>
      <c r="O129" s="45">
        <f t="shared" si="104"/>
        <v>2036</v>
      </c>
      <c r="P129" s="45">
        <f t="shared" si="104"/>
        <v>2037</v>
      </c>
      <c r="Q129" s="45">
        <f t="shared" si="104"/>
        <v>2038</v>
      </c>
      <c r="R129" s="45">
        <f t="shared" si="104"/>
        <v>2039</v>
      </c>
      <c r="S129" s="45">
        <f t="shared" si="104"/>
        <v>2040</v>
      </c>
      <c r="T129" s="45">
        <f t="shared" si="104"/>
        <v>2041</v>
      </c>
      <c r="U129" s="45">
        <f t="shared" si="104"/>
        <v>2042</v>
      </c>
      <c r="V129" s="45">
        <f t="shared" si="104"/>
        <v>2043</v>
      </c>
      <c r="W129" s="45">
        <f t="shared" si="104"/>
        <v>2044</v>
      </c>
      <c r="X129" s="45">
        <f t="shared" si="104"/>
        <v>2045</v>
      </c>
      <c r="Y129" s="45">
        <f t="shared" si="104"/>
        <v>2046</v>
      </c>
      <c r="Z129" s="45">
        <f t="shared" si="104"/>
        <v>2047</v>
      </c>
      <c r="AA129" s="45">
        <f t="shared" si="104"/>
        <v>2048</v>
      </c>
      <c r="AB129" s="45">
        <f t="shared" si="104"/>
        <v>2049</v>
      </c>
      <c r="AC129" s="45">
        <f t="shared" si="104"/>
        <v>2050</v>
      </c>
      <c r="AD129" s="45">
        <f t="shared" si="104"/>
        <v>2051</v>
      </c>
      <c r="AE129" s="45">
        <f t="shared" si="104"/>
        <v>2052</v>
      </c>
      <c r="AF129" s="45">
        <f t="shared" si="104"/>
        <v>2053</v>
      </c>
      <c r="AG129" s="45">
        <f t="shared" si="104"/>
        <v>2054</v>
      </c>
      <c r="AH129" s="45">
        <f t="shared" si="104"/>
        <v>2055</v>
      </c>
      <c r="AI129" s="45">
        <f t="shared" si="104"/>
        <v>2056</v>
      </c>
      <c r="AJ129" s="45">
        <f t="shared" si="104"/>
        <v>2057</v>
      </c>
      <c r="AK129" s="45">
        <f t="shared" si="104"/>
        <v>2058</v>
      </c>
      <c r="AL129" s="45">
        <f t="shared" si="104"/>
        <v>2059</v>
      </c>
      <c r="AM129" s="45">
        <f t="shared" si="104"/>
        <v>2060</v>
      </c>
    </row>
    <row r="130" spans="1:39">
      <c r="A130" s="40"/>
    </row>
    <row r="131" spans="1:39" outlineLevel="1">
      <c r="A131" s="83">
        <f>C2</f>
        <v>2024</v>
      </c>
      <c r="B131" s="46"/>
      <c r="C131" s="15">
        <f>IF(OR(C$126=0, $A131-C$129&gt;C$116, NOT($A131-C$129&gt;0)), 0, IF($A131-C$129=C$116, C$126-SUM(C130:C$131), ROUND(PPMT(C$115, $A131-C$129, C$116, -C$126), -3)))</f>
        <v>0</v>
      </c>
      <c r="D131" s="15">
        <f>IF(OR(D$126=0, $A131-D$129&gt;D$116, NOT($A131-D$129&gt;0)), 0, IF($A131-D$129=D$116, D$126-SUM(D130:D$131), ROUND(PPMT(D$115, $A131-D$129, D$116, -D$126), -3)))</f>
        <v>0</v>
      </c>
      <c r="E131" s="15">
        <f>IF(OR(E$126=0, $A131-E$129&gt;E$116, NOT($A131-E$129&gt;0)), 0, IF($A131-E$129=E$116, E$126-SUM(E130:E$131), ROUND(PPMT(E$115, $A131-E$129, E$116, -E$126), -3)))</f>
        <v>0</v>
      </c>
      <c r="F131" s="46">
        <f>IF(OR(F$126=0, $A131-F$129&gt;F$116, NOT($A131-F$129&gt;0)), 0, IF($A131-F$129=F$116, F$126-SUM(F130:F$131), ROUND(PPMT(F$115, $A131-F$129, F$116, -F$126), -3)))</f>
        <v>0</v>
      </c>
      <c r="G131" s="15">
        <f>IF(OR(G$126=0, $A131-G$129&gt;G$116, NOT($A131-G$129&gt;0)), 0, IF($A131-G$129=G$116, G$126-SUM(G130:G$131), ROUND(PPMT(G$115, $A131-G$129, G$116, -G$126), -3)))</f>
        <v>0</v>
      </c>
      <c r="H131" s="15">
        <f>IF(OR(H$126=0, $A131-H$129&gt;H$116, NOT($A131-H$129&gt;0)), 0, IF($A131-H$129=H$116, H$126-SUM(H130:H$131), ROUND(PPMT(H$115, $A131-H$129, H$116, -H$126), -3)))</f>
        <v>0</v>
      </c>
      <c r="I131" s="15">
        <f>IF(OR(I$126=0, $A131-I$129&gt;I$116, NOT($A131-I$129&gt;0)), 0, IF($A131-I$129=I$116, I$126-SUM(I130:I$131), ROUND(PPMT(I$115, $A131-I$129, I$116, -I$126), -3)))</f>
        <v>0</v>
      </c>
      <c r="J131" s="15">
        <f>IF(OR(J$126=0, $A131-J$129&gt;J$116, NOT($A131-J$129&gt;0)), 0, IF($A131-J$129=J$116, J$126-SUM(J130:J$131), ROUND(PPMT(J$115, $A131-J$129, J$116, -J$126), -3)))</f>
        <v>0</v>
      </c>
      <c r="K131" s="15">
        <f>IF(OR(K$126=0, $A131-K$129&gt;K$116, NOT($A131-K$129&gt;0)), 0, IF($A131-K$129=K$116, K$126-SUM(K130:K$131), ROUND(PPMT(K$115, $A131-K$129, K$116, -K$126), -3)))</f>
        <v>0</v>
      </c>
      <c r="L131" s="15">
        <f>IF(OR(L$126=0, $A131-L$129&gt;L$116, NOT($A131-L$129&gt;0)), 0, IF($A131-L$129=L$116, L$126-SUM(L130:L$131), ROUND(PPMT(L$115, $A131-L$129, L$116, -L$126), -3)))</f>
        <v>0</v>
      </c>
      <c r="M131" s="15">
        <f>IF(OR(M$126=0, $A131-M$129&gt;M$116, NOT($A131-M$129&gt;0)), 0, IF($A131-M$129=M$116, M$126-SUM(M130:M$131), ROUND(PPMT(M$115, $A131-M$129, M$116, -M$126), -3)))</f>
        <v>0</v>
      </c>
      <c r="N131" s="15">
        <f>IF(OR(N$126=0, $A131-N$129&gt;N$116, NOT($A131-N$129&gt;0)), 0, IF($A131-N$129=N$116, N$126-SUM(N130:N$131), ROUND(PPMT(N$115, $A131-N$129, N$116, -N$126), -3)))</f>
        <v>0</v>
      </c>
      <c r="O131" s="15">
        <f>IF(OR(O$126=0, $A131-O$129&gt;O$116, NOT($A131-O$129&gt;0)), 0, IF($A131-O$129=O$116, O$126-SUM(O130:O$131), ROUND(PPMT(O$115, $A131-O$129, O$116, -O$126), -3)))</f>
        <v>0</v>
      </c>
      <c r="P131" s="15">
        <f>IF(OR(P$126=0, $A131-P$129&gt;P$116, NOT($A131-P$129&gt;0)), 0, IF($A131-P$129=P$116, P$126-SUM(P130:P$131), ROUND(PPMT(P$115, $A131-P$129, P$116, -P$126), -3)))</f>
        <v>0</v>
      </c>
      <c r="Q131" s="15">
        <f>IF(OR(Q$126=0, $A131-Q$129&gt;Q$116, NOT($A131-Q$129&gt;0)), 0, IF($A131-Q$129=Q$116, Q$126-SUM(Q130:Q$131), ROUND(PPMT(Q$115, $A131-Q$129, Q$116, -Q$126), -3)))</f>
        <v>0</v>
      </c>
      <c r="R131" s="15">
        <f>IF(OR(R$126=0, $A131-R$129&gt;R$116, NOT($A131-R$129&gt;0)), 0, IF($A131-R$129=R$116, R$126-SUM(R130:R$131), ROUND(PPMT(R$115, $A131-R$129, R$116, -R$126), -3)))</f>
        <v>0</v>
      </c>
      <c r="S131" s="15">
        <f>IF(OR(S$126=0, $A131-S$129&gt;S$116, NOT($A131-S$129&gt;0)), 0, IF($A131-S$129=S$116, S$126-SUM(S130:S$131), ROUND(PPMT(S$115, $A131-S$129, S$116, -S$126), -3)))</f>
        <v>0</v>
      </c>
      <c r="T131" s="15">
        <f>IF(OR(T$126=0, $A131-T$129&gt;T$116, NOT($A131-T$129&gt;0)), 0, IF($A131-T$129=T$116, T$126-SUM(T130:T$131), ROUND(PPMT(T$115, $A131-T$129, T$116, -T$126), -3)))</f>
        <v>0</v>
      </c>
      <c r="U131" s="15">
        <f>IF(OR(U$126=0, $A131-U$129&gt;U$116, NOT($A131-U$129&gt;0)), 0, IF($A131-U$129=U$116, U$126-SUM(U130:U$131), ROUND(PPMT(U$115, $A131-U$129, U$116, -U$126), -3)))</f>
        <v>0</v>
      </c>
      <c r="V131" s="15">
        <f>IF(OR(V$126=0, $A131-V$129&gt;V$116, NOT($A131-V$129&gt;0)), 0, IF($A131-V$129=V$116, V$126-SUM(V130:V$131), ROUND(PPMT(V$115, $A131-V$129, V$116, -V$126), -3)))</f>
        <v>0</v>
      </c>
      <c r="W131" s="15">
        <f>IF(OR(W$126=0, $A131-W$129&gt;W$116, NOT($A131-W$129&gt;0)), 0, IF($A131-W$129=W$116, W$126-SUM(W130:W$131), ROUND(PPMT(W$115, $A131-W$129, W$116, -W$126), -3)))</f>
        <v>0</v>
      </c>
      <c r="X131" s="15">
        <f>IF(OR(X$126=0, $A131-X$129&gt;X$116, NOT($A131-X$129&gt;0)), 0, IF($A131-X$129=X$116, X$126-SUM(X130:X$131), ROUND(PPMT(X$115, $A131-X$129, X$116, -X$126), -3)))</f>
        <v>0</v>
      </c>
      <c r="Y131" s="15">
        <f>IF(OR(Y$126=0, $A131-Y$129&gt;Y$116, NOT($A131-Y$129&gt;0)), 0, IF($A131-Y$129=Y$116, Y$126-SUM(Y130:Y$131), ROUND(PPMT(Y$115, $A131-Y$129, Y$116, -Y$126), -3)))</f>
        <v>0</v>
      </c>
      <c r="Z131" s="15">
        <f>IF(OR(Z$126=0, $A131-Z$129&gt;Z$116, NOT($A131-Z$129&gt;0)), 0, IF($A131-Z$129=Z$116, Z$126-SUM(Z130:Z$131), ROUND(PPMT(Z$115, $A131-Z$129, Z$116, -Z$126), -3)))</f>
        <v>0</v>
      </c>
      <c r="AA131" s="15">
        <f>IF(OR(AA$126=0, $A131-AA$129&gt;AA$116, NOT($A131-AA$129&gt;0)), 0, IF($A131-AA$129=AA$116, AA$126-SUM(AA130:AA$131), ROUND(PPMT(AA$115, $A131-AA$129, AA$116, -AA$126), -3)))</f>
        <v>0</v>
      </c>
      <c r="AB131" s="15">
        <f>IF(OR(AB$126=0, $A131-AB$129&gt;AB$116, NOT($A131-AB$129&gt;0)), 0, IF($A131-AB$129=AB$116, AB$126-SUM(AB130:AB$131), ROUND(PPMT(AB$115, $A131-AB$129, AB$116, -AB$126), -3)))</f>
        <v>0</v>
      </c>
      <c r="AC131" s="15">
        <f>IF(OR(AC$126=0, $A131-AC$129&gt;AC$116, NOT($A131-AC$129&gt;0)), 0, IF($A131-AC$129=AC$116, AC$126-SUM(AC130:AC$131), ROUND(PPMT(AC$115, $A131-AC$129, AC$116, -AC$126), -3)))</f>
        <v>0</v>
      </c>
      <c r="AD131" s="15">
        <f>IF(OR(AD$126=0, $A131-AD$129&gt;AD$116, NOT($A131-AD$129&gt;0)), 0, IF($A131-AD$129=AD$116, AD$126-SUM(AD130:AD$131), ROUND(PPMT(AD$115, $A131-AD$129, AD$116, -AD$126), -3)))</f>
        <v>0</v>
      </c>
      <c r="AE131" s="15">
        <f>IF(OR(AE$126=0, $A131-AE$129&gt;AE$116, NOT($A131-AE$129&gt;0)), 0, IF($A131-AE$129=AE$116, AE$126-SUM(AE130:AE$131), ROUND(PPMT(AE$115, $A131-AE$129, AE$116, -AE$126), -3)))</f>
        <v>0</v>
      </c>
      <c r="AF131" s="15">
        <f>IF(OR(AF$126=0, $A131-AF$129&gt;AF$116, NOT($A131-AF$129&gt;0)), 0, IF($A131-AF$129=AF$116, AF$126-SUM(AF130:AF$131), ROUND(PPMT(AF$115, $A131-AF$129, AF$116, -AF$126), -3)))</f>
        <v>0</v>
      </c>
      <c r="AG131" s="15">
        <f>IF(OR(AG$126=0, $A131-AG$129&gt;AG$116, NOT($A131-AG$129&gt;0)), 0, IF($A131-AG$129=AG$116, AG$126-SUM(AG130:AG$131), ROUND(PPMT(AG$115, $A131-AG$129, AG$116, -AG$126), -3)))</f>
        <v>0</v>
      </c>
      <c r="AH131" s="15">
        <f>IF(OR(AH$126=0, $A131-AH$129&gt;AH$116, NOT($A131-AH$129&gt;0)), 0, IF($A131-AH$129=AH$116, AH$126-SUM(AH130:AH$131), ROUND(PPMT(AH$115, $A131-AH$129, AH$116, -AH$126), -3)))</f>
        <v>0</v>
      </c>
      <c r="AI131" s="15">
        <f>IF(OR(AI$126=0, $A131-AI$129&gt;AI$116, NOT($A131-AI$129&gt;0)), 0, IF($A131-AI$129=AI$116, AI$126-SUM(AI130:AI$131), ROUND(PPMT(AI$115, $A131-AI$129, AI$116, -AI$126), -3)))</f>
        <v>0</v>
      </c>
      <c r="AJ131" s="15">
        <f>IF(OR(AJ$126=0, $A131-AJ$129&gt;AJ$116, NOT($A131-AJ$129&gt;0)), 0, IF($A131-AJ$129=AJ$116, AJ$126-SUM(AJ130:AJ$131), ROUND(PPMT(AJ$115, $A131-AJ$129, AJ$116, -AJ$126), -3)))</f>
        <v>0</v>
      </c>
      <c r="AK131" s="15">
        <f>IF(OR(AK$126=0, $A131-AK$129&gt;AK$116, NOT($A131-AK$129&gt;0)), 0, IF($A131-AK$129=AK$116, AK$126-SUM(AK130:AK$131), ROUND(PPMT(AK$115, $A131-AK$129, AK$116, -AK$126), -3)))</f>
        <v>0</v>
      </c>
      <c r="AL131" s="15">
        <f>IF(OR(AL$126=0, $A131-AL$129&gt;AL$116, NOT($A131-AL$129&gt;0)), 0, IF($A131-AL$129=AL$116, AL$126-SUM(AL130:AL$131), ROUND(PPMT(AL$115, $A131-AL$129, AL$116, -AL$126), -3)))</f>
        <v>0</v>
      </c>
      <c r="AM131" s="15">
        <f>IF(OR(AM$126=0, $A131-AM$129&gt;AM$116, NOT($A131-AM$129&gt;0)), 0, IF($A131-AM$129=AM$116, AM$126-SUM(AM130:AM$131), ROUND(PPMT(AM$115, $A131-AM$129, AM$116, -AM$126), -3)))</f>
        <v>0</v>
      </c>
    </row>
    <row r="132" spans="1:39" outlineLevel="1">
      <c r="A132" s="40">
        <f t="shared" ref="A132:A167" si="105">A131+1</f>
        <v>2025</v>
      </c>
      <c r="B132" s="46"/>
      <c r="C132" s="15">
        <f>IF(OR(C$126=0, $A132-C$129&gt;C$116, NOT($A132-C$129&gt;0)), 0, IF($A132-C$129=C$116, C$126-SUM(C131:C$131), ROUND(PPMT(C$115, $A132-C$129, C$116, -C$126), -3)))</f>
        <v>2294000</v>
      </c>
      <c r="D132" s="15">
        <f>IF(OR(D$126=0, $A132-D$129&gt;D$116, NOT($A132-D$129&gt;0)), 0, IF($A132-D$129=D$116, D$126-SUM(D131:D$131), ROUND(PPMT(D$115, $A132-D$129, D$116, -D$126), -3)))</f>
        <v>0</v>
      </c>
      <c r="E132" s="15">
        <f>IF(OR(E$126=0, $A132-E$129&gt;E$116, NOT($A132-E$129&gt;0)), 0, IF($A132-E$129=E$116, E$126-SUM(E131:E$131), ROUND(PPMT(E$115, $A132-E$129, E$116, -E$126), -3)))</f>
        <v>0</v>
      </c>
      <c r="F132" s="46">
        <f>IF(OR(F$126=0, $A132-F$129&gt;F$116, NOT($A132-F$129&gt;0)), 0, IF($A132-F$129=F$116, F$126-SUM(F131:F$131), ROUND(PPMT(F$115, $A132-F$129, F$116, -F$126), -3)))</f>
        <v>0</v>
      </c>
      <c r="G132" s="15">
        <f>IF(OR(G$126=0, $A132-G$129&gt;G$116, NOT($A132-G$129&gt;0)), 0, IF($A132-G$129=G$116, G$126-SUM(G131:G$131), ROUND(PPMT(G$115, $A132-G$129, G$116, -G$126), -3)))</f>
        <v>0</v>
      </c>
      <c r="H132" s="15">
        <f>IF(OR(H$126=0, $A132-H$129&gt;H$116, NOT($A132-H$129&gt;0)), 0, IF($A132-H$129=H$116, H$126-SUM(H131:H$131), ROUND(PPMT(H$115, $A132-H$129, H$116, -H$126), -3)))</f>
        <v>0</v>
      </c>
      <c r="I132" s="15">
        <f>IF(OR(I$126=0, $A132-I$129&gt;I$116, NOT($A132-I$129&gt;0)), 0, IF($A132-I$129=I$116, I$126-SUM(I131:I$131), ROUND(PPMT(I$115, $A132-I$129, I$116, -I$126), -3)))</f>
        <v>0</v>
      </c>
      <c r="J132" s="15">
        <f>IF(OR(J$126=0, $A132-J$129&gt;J$116, NOT($A132-J$129&gt;0)), 0, IF($A132-J$129=J$116, J$126-SUM(J131:J$131), ROUND(PPMT(J$115, $A132-J$129, J$116, -J$126), -3)))</f>
        <v>0</v>
      </c>
      <c r="K132" s="15">
        <f>IF(OR(K$126=0, $A132-K$129&gt;K$116, NOT($A132-K$129&gt;0)), 0, IF($A132-K$129=K$116, K$126-SUM(K131:K$131), ROUND(PPMT(K$115, $A132-K$129, K$116, -K$126), -3)))</f>
        <v>0</v>
      </c>
      <c r="L132" s="15">
        <f>IF(OR(L$126=0, $A132-L$129&gt;L$116, NOT($A132-L$129&gt;0)), 0, IF($A132-L$129=L$116, L$126-SUM(L131:L$131), ROUND(PPMT(L$115, $A132-L$129, L$116, -L$126), -3)))</f>
        <v>0</v>
      </c>
      <c r="M132" s="15">
        <f>IF(OR(M$126=0, $A132-M$129&gt;M$116, NOT($A132-M$129&gt;0)), 0, IF($A132-M$129=M$116, M$126-SUM(M131:M$131), ROUND(PPMT(M$115, $A132-M$129, M$116, -M$126), -3)))</f>
        <v>0</v>
      </c>
      <c r="N132" s="15">
        <f>IF(OR(N$126=0, $A132-N$129&gt;N$116, NOT($A132-N$129&gt;0)), 0, IF($A132-N$129=N$116, N$126-SUM(N131:N$131), ROUND(PPMT(N$115, $A132-N$129, N$116, -N$126), -3)))</f>
        <v>0</v>
      </c>
      <c r="O132" s="15">
        <f>IF(OR(O$126=0, $A132-O$129&gt;O$116, NOT($A132-O$129&gt;0)), 0, IF($A132-O$129=O$116, O$126-SUM(O131:O$131), ROUND(PPMT(O$115, $A132-O$129, O$116, -O$126), -3)))</f>
        <v>0</v>
      </c>
      <c r="P132" s="15">
        <f>IF(OR(P$126=0, $A132-P$129&gt;P$116, NOT($A132-P$129&gt;0)), 0, IF($A132-P$129=P$116, P$126-SUM(P131:P$131), ROUND(PPMT(P$115, $A132-P$129, P$116, -P$126), -3)))</f>
        <v>0</v>
      </c>
      <c r="Q132" s="15">
        <f>IF(OR(Q$126=0, $A132-Q$129&gt;Q$116, NOT($A132-Q$129&gt;0)), 0, IF($A132-Q$129=Q$116, Q$126-SUM(Q131:Q$131), ROUND(PPMT(Q$115, $A132-Q$129, Q$116, -Q$126), -3)))</f>
        <v>0</v>
      </c>
      <c r="R132" s="15">
        <f>IF(OR(R$126=0, $A132-R$129&gt;R$116, NOT($A132-R$129&gt;0)), 0, IF($A132-R$129=R$116, R$126-SUM(R131:R$131), ROUND(PPMT(R$115, $A132-R$129, R$116, -R$126), -3)))</f>
        <v>0</v>
      </c>
      <c r="S132" s="15">
        <f>IF(OR(S$126=0, $A132-S$129&gt;S$116, NOT($A132-S$129&gt;0)), 0, IF($A132-S$129=S$116, S$126-SUM(S131:S$131), ROUND(PPMT(S$115, $A132-S$129, S$116, -S$126), -3)))</f>
        <v>0</v>
      </c>
      <c r="T132" s="15">
        <f>IF(OR(T$126=0, $A132-T$129&gt;T$116, NOT($A132-T$129&gt;0)), 0, IF($A132-T$129=T$116, T$126-SUM(T131:T$131), ROUND(PPMT(T$115, $A132-T$129, T$116, -T$126), -3)))</f>
        <v>0</v>
      </c>
      <c r="U132" s="15">
        <f>IF(OR(U$126=0, $A132-U$129&gt;U$116, NOT($A132-U$129&gt;0)), 0, IF($A132-U$129=U$116, U$126-SUM(U131:U$131), ROUND(PPMT(U$115, $A132-U$129, U$116, -U$126), -3)))</f>
        <v>0</v>
      </c>
      <c r="V132" s="15">
        <f>IF(OR(V$126=0, $A132-V$129&gt;V$116, NOT($A132-V$129&gt;0)), 0, IF($A132-V$129=V$116, V$126-SUM(V131:V$131), ROUND(PPMT(V$115, $A132-V$129, V$116, -V$126), -3)))</f>
        <v>0</v>
      </c>
      <c r="W132" s="15">
        <f>IF(OR(W$126=0, $A132-W$129&gt;W$116, NOT($A132-W$129&gt;0)), 0, IF($A132-W$129=W$116, W$126-SUM(W131:W$131), ROUND(PPMT(W$115, $A132-W$129, W$116, -W$126), -3)))</f>
        <v>0</v>
      </c>
      <c r="X132" s="15">
        <f>IF(OR(X$126=0, $A132-X$129&gt;X$116, NOT($A132-X$129&gt;0)), 0, IF($A132-X$129=X$116, X$126-SUM(X131:X$131), ROUND(PPMT(X$115, $A132-X$129, X$116, -X$126), -3)))</f>
        <v>0</v>
      </c>
      <c r="Y132" s="15">
        <f>IF(OR(Y$126=0, $A132-Y$129&gt;Y$116, NOT($A132-Y$129&gt;0)), 0, IF($A132-Y$129=Y$116, Y$126-SUM(Y131:Y$131), ROUND(PPMT(Y$115, $A132-Y$129, Y$116, -Y$126), -3)))</f>
        <v>0</v>
      </c>
      <c r="Z132" s="15">
        <f>IF(OR(Z$126=0, $A132-Z$129&gt;Z$116, NOT($A132-Z$129&gt;0)), 0, IF($A132-Z$129=Z$116, Z$126-SUM(Z131:Z$131), ROUND(PPMT(Z$115, $A132-Z$129, Z$116, -Z$126), -3)))</f>
        <v>0</v>
      </c>
      <c r="AA132" s="15">
        <f>IF(OR(AA$126=0, $A132-AA$129&gt;AA$116, NOT($A132-AA$129&gt;0)), 0, IF($A132-AA$129=AA$116, AA$126-SUM(AA131:AA$131), ROUND(PPMT(AA$115, $A132-AA$129, AA$116, -AA$126), -3)))</f>
        <v>0</v>
      </c>
      <c r="AB132" s="15">
        <f>IF(OR(AB$126=0, $A132-AB$129&gt;AB$116, NOT($A132-AB$129&gt;0)), 0, IF($A132-AB$129=AB$116, AB$126-SUM(AB131:AB$131), ROUND(PPMT(AB$115, $A132-AB$129, AB$116, -AB$126), -3)))</f>
        <v>0</v>
      </c>
      <c r="AC132" s="15">
        <f>IF(OR(AC$126=0, $A132-AC$129&gt;AC$116, NOT($A132-AC$129&gt;0)), 0, IF($A132-AC$129=AC$116, AC$126-SUM(AC131:AC$131), ROUND(PPMT(AC$115, $A132-AC$129, AC$116, -AC$126), -3)))</f>
        <v>0</v>
      </c>
      <c r="AD132" s="15">
        <f>IF(OR(AD$126=0, $A132-AD$129&gt;AD$116, NOT($A132-AD$129&gt;0)), 0, IF($A132-AD$129=AD$116, AD$126-SUM(AD131:AD$131), ROUND(PPMT(AD$115, $A132-AD$129, AD$116, -AD$126), -3)))</f>
        <v>0</v>
      </c>
      <c r="AE132" s="15">
        <f>IF(OR(AE$126=0, $A132-AE$129&gt;AE$116, NOT($A132-AE$129&gt;0)), 0, IF($A132-AE$129=AE$116, AE$126-SUM(AE131:AE$131), ROUND(PPMT(AE$115, $A132-AE$129, AE$116, -AE$126), -3)))</f>
        <v>0</v>
      </c>
      <c r="AF132" s="15">
        <f>IF(OR(AF$126=0, $A132-AF$129&gt;AF$116, NOT($A132-AF$129&gt;0)), 0, IF($A132-AF$129=AF$116, AF$126-SUM(AF131:AF$131), ROUND(PPMT(AF$115, $A132-AF$129, AF$116, -AF$126), -3)))</f>
        <v>0</v>
      </c>
      <c r="AG132" s="15">
        <f>IF(OR(AG$126=0, $A132-AG$129&gt;AG$116, NOT($A132-AG$129&gt;0)), 0, IF($A132-AG$129=AG$116, AG$126-SUM(AG131:AG$131), ROUND(PPMT(AG$115, $A132-AG$129, AG$116, -AG$126), -3)))</f>
        <v>0</v>
      </c>
      <c r="AH132" s="15">
        <f>IF(OR(AH$126=0, $A132-AH$129&gt;AH$116, NOT($A132-AH$129&gt;0)), 0, IF($A132-AH$129=AH$116, AH$126-SUM(AH131:AH$131), ROUND(PPMT(AH$115, $A132-AH$129, AH$116, -AH$126), -3)))</f>
        <v>0</v>
      </c>
      <c r="AI132" s="15">
        <f>IF(OR(AI$126=0, $A132-AI$129&gt;AI$116, NOT($A132-AI$129&gt;0)), 0, IF($A132-AI$129=AI$116, AI$126-SUM(AI131:AI$131), ROUND(PPMT(AI$115, $A132-AI$129, AI$116, -AI$126), -3)))</f>
        <v>0</v>
      </c>
      <c r="AJ132" s="15">
        <f>IF(OR(AJ$126=0, $A132-AJ$129&gt;AJ$116, NOT($A132-AJ$129&gt;0)), 0, IF($A132-AJ$129=AJ$116, AJ$126-SUM(AJ131:AJ$131), ROUND(PPMT(AJ$115, $A132-AJ$129, AJ$116, -AJ$126), -3)))</f>
        <v>0</v>
      </c>
      <c r="AK132" s="15">
        <f>IF(OR(AK$126=0, $A132-AK$129&gt;AK$116, NOT($A132-AK$129&gt;0)), 0, IF($A132-AK$129=AK$116, AK$126-SUM(AK131:AK$131), ROUND(PPMT(AK$115, $A132-AK$129, AK$116, -AK$126), -3)))</f>
        <v>0</v>
      </c>
      <c r="AL132" s="15">
        <f>IF(OR(AL$126=0, $A132-AL$129&gt;AL$116, NOT($A132-AL$129&gt;0)), 0, IF($A132-AL$129=AL$116, AL$126-SUM(AL131:AL$131), ROUND(PPMT(AL$115, $A132-AL$129, AL$116, -AL$126), -3)))</f>
        <v>0</v>
      </c>
      <c r="AM132" s="15">
        <f>IF(OR(AM$126=0, $A132-AM$129&gt;AM$116, NOT($A132-AM$129&gt;0)), 0, IF($A132-AM$129=AM$116, AM$126-SUM(AM131:AM$131), ROUND(PPMT(AM$115, $A132-AM$129, AM$116, -AM$126), -3)))</f>
        <v>0</v>
      </c>
    </row>
    <row r="133" spans="1:39" outlineLevel="1">
      <c r="A133" s="40">
        <f t="shared" si="105"/>
        <v>2026</v>
      </c>
      <c r="B133" s="46"/>
      <c r="C133" s="15">
        <f>IF(OR(C$126=0, $A133-C$129&gt;C$116, NOT($A133-C$129&gt;0)), 0, IF($A133-C$129=C$116, C$126-SUM(C$131:C132), ROUND(PPMT(C$115, $A133-C$129, C$116, -C$126), -3)))</f>
        <v>2421000</v>
      </c>
      <c r="D133" s="15">
        <f>IF(OR(D$126=0, $A133-D$129&gt;D$116, NOT($A133-D$129&gt;0)), 0, IF($A133-D$129=D$116, D$126-SUM(D$131:D132), ROUND(PPMT(D$115, $A133-D$129, D$116, -D$126), -3)))</f>
        <v>2294000</v>
      </c>
      <c r="E133" s="15">
        <f>IF(OR(E$126=0, $A133-E$129&gt;E$116, NOT($A133-E$129&gt;0)), 0, IF($A133-E$129=E$116, E$126-SUM(E$131:E132), ROUND(PPMT(E$115, $A133-E$129, E$116, -E$126), -3)))</f>
        <v>0</v>
      </c>
      <c r="F133" s="46">
        <f>IF(OR(F$126=0, $A133-F$129&gt;F$116, NOT($A133-F$129&gt;0)), 0, IF($A133-F$129=F$116, F$126-SUM(F$131:F132), ROUND(PPMT(F$115, $A133-F$129, F$116, -F$126), -3)))</f>
        <v>0</v>
      </c>
      <c r="G133" s="15">
        <f>IF(OR(G$126=0, $A133-G$129&gt;G$116, NOT($A133-G$129&gt;0)), 0, IF($A133-G$129=G$116, G$126-SUM(G$131:G132), ROUND(PPMT(G$115, $A133-G$129, G$116, -G$126), -3)))</f>
        <v>0</v>
      </c>
      <c r="H133" s="15">
        <f>IF(OR(H$126=0, $A133-H$129&gt;H$116, NOT($A133-H$129&gt;0)), 0, IF($A133-H$129=H$116, H$126-SUM(H$131:H132), ROUND(PPMT(H$115, $A133-H$129, H$116, -H$126), -3)))</f>
        <v>0</v>
      </c>
      <c r="I133" s="15">
        <f>IF(OR(I$126=0, $A133-I$129&gt;I$116, NOT($A133-I$129&gt;0)), 0, IF($A133-I$129=I$116, I$126-SUM(I$131:I132), ROUND(PPMT(I$115, $A133-I$129, I$116, -I$126), -3)))</f>
        <v>0</v>
      </c>
      <c r="J133" s="15">
        <f>IF(OR(J$126=0, $A133-J$129&gt;J$116, NOT($A133-J$129&gt;0)), 0, IF($A133-J$129=J$116, J$126-SUM(J$131:J132), ROUND(PPMT(J$115, $A133-J$129, J$116, -J$126), -3)))</f>
        <v>0</v>
      </c>
      <c r="K133" s="15">
        <f>IF(OR(K$126=0, $A133-K$129&gt;K$116, NOT($A133-K$129&gt;0)), 0, IF($A133-K$129=K$116, K$126-SUM(K$131:K132), ROUND(PPMT(K$115, $A133-K$129, K$116, -K$126), -3)))</f>
        <v>0</v>
      </c>
      <c r="L133" s="15">
        <f>IF(OR(L$126=0, $A133-L$129&gt;L$116, NOT($A133-L$129&gt;0)), 0, IF($A133-L$129=L$116, L$126-SUM(L$131:L132), ROUND(PPMT(L$115, $A133-L$129, L$116, -L$126), -3)))</f>
        <v>0</v>
      </c>
      <c r="M133" s="15">
        <f>IF(OR(M$126=0, $A133-M$129&gt;M$116, NOT($A133-M$129&gt;0)), 0, IF($A133-M$129=M$116, M$126-SUM(M$131:M132), ROUND(PPMT(M$115, $A133-M$129, M$116, -M$126), -3)))</f>
        <v>0</v>
      </c>
      <c r="N133" s="15">
        <f>IF(OR(N$126=0, $A133-N$129&gt;N$116, NOT($A133-N$129&gt;0)), 0, IF($A133-N$129=N$116, N$126-SUM(N$131:N132), ROUND(PPMT(N$115, $A133-N$129, N$116, -N$126), -3)))</f>
        <v>0</v>
      </c>
      <c r="O133" s="15">
        <f>IF(OR(O$126=0, $A133-O$129&gt;O$116, NOT($A133-O$129&gt;0)), 0, IF($A133-O$129=O$116, O$126-SUM(O$131:O132), ROUND(PPMT(O$115, $A133-O$129, O$116, -O$126), -3)))</f>
        <v>0</v>
      </c>
      <c r="P133" s="15">
        <f>IF(OR(P$126=0, $A133-P$129&gt;P$116, NOT($A133-P$129&gt;0)), 0, IF($A133-P$129=P$116, P$126-SUM(P$131:P132), ROUND(PPMT(P$115, $A133-P$129, P$116, -P$126), -3)))</f>
        <v>0</v>
      </c>
      <c r="Q133" s="15">
        <f>IF(OR(Q$126=0, $A133-Q$129&gt;Q$116, NOT($A133-Q$129&gt;0)), 0, IF($A133-Q$129=Q$116, Q$126-SUM(Q$131:Q132), ROUND(PPMT(Q$115, $A133-Q$129, Q$116, -Q$126), -3)))</f>
        <v>0</v>
      </c>
      <c r="R133" s="15">
        <f>IF(OR(R$126=0, $A133-R$129&gt;R$116, NOT($A133-R$129&gt;0)), 0, IF($A133-R$129=R$116, R$126-SUM(R$131:R132), ROUND(PPMT(R$115, $A133-R$129, R$116, -R$126), -3)))</f>
        <v>0</v>
      </c>
      <c r="S133" s="15">
        <f>IF(OR(S$126=0, $A133-S$129&gt;S$116, NOT($A133-S$129&gt;0)), 0, IF($A133-S$129=S$116, S$126-SUM(S$131:S132), ROUND(PPMT(S$115, $A133-S$129, S$116, -S$126), -3)))</f>
        <v>0</v>
      </c>
      <c r="T133" s="15">
        <f>IF(OR(T$126=0, $A133-T$129&gt;T$116, NOT($A133-T$129&gt;0)), 0, IF($A133-T$129=T$116, T$126-SUM(T$131:T132), ROUND(PPMT(T$115, $A133-T$129, T$116, -T$126), -3)))</f>
        <v>0</v>
      </c>
      <c r="U133" s="15">
        <f>IF(OR(U$126=0, $A133-U$129&gt;U$116, NOT($A133-U$129&gt;0)), 0, IF($A133-U$129=U$116, U$126-SUM(U$131:U132), ROUND(PPMT(U$115, $A133-U$129, U$116, -U$126), -3)))</f>
        <v>0</v>
      </c>
      <c r="V133" s="15">
        <f>IF(OR(V$126=0, $A133-V$129&gt;V$116, NOT($A133-V$129&gt;0)), 0, IF($A133-V$129=V$116, V$126-SUM(V$131:V132), ROUND(PPMT(V$115, $A133-V$129, V$116, -V$126), -3)))</f>
        <v>0</v>
      </c>
      <c r="W133" s="15">
        <f>IF(OR(W$126=0, $A133-W$129&gt;W$116, NOT($A133-W$129&gt;0)), 0, IF($A133-W$129=W$116, W$126-SUM(W$131:W132), ROUND(PPMT(W$115, $A133-W$129, W$116, -W$126), -3)))</f>
        <v>0</v>
      </c>
      <c r="X133" s="15">
        <f>IF(OR(X$126=0, $A133-X$129&gt;X$116, NOT($A133-X$129&gt;0)), 0, IF($A133-X$129=X$116, X$126-SUM(X$131:X132), ROUND(PPMT(X$115, $A133-X$129, X$116, -X$126), -3)))</f>
        <v>0</v>
      </c>
      <c r="Y133" s="15">
        <f>IF(OR(Y$126=0, $A133-Y$129&gt;Y$116, NOT($A133-Y$129&gt;0)), 0, IF($A133-Y$129=Y$116, Y$126-SUM(Y$131:Y132), ROUND(PPMT(Y$115, $A133-Y$129, Y$116, -Y$126), -3)))</f>
        <v>0</v>
      </c>
      <c r="Z133" s="15">
        <f>IF(OR(Z$126=0, $A133-Z$129&gt;Z$116, NOT($A133-Z$129&gt;0)), 0, IF($A133-Z$129=Z$116, Z$126-SUM(Z$131:Z132), ROUND(PPMT(Z$115, $A133-Z$129, Z$116, -Z$126), -3)))</f>
        <v>0</v>
      </c>
      <c r="AA133" s="15">
        <f>IF(OR(AA$126=0, $A133-AA$129&gt;AA$116, NOT($A133-AA$129&gt;0)), 0, IF($A133-AA$129=AA$116, AA$126-SUM(AA$131:AA132), ROUND(PPMT(AA$115, $A133-AA$129, AA$116, -AA$126), -3)))</f>
        <v>0</v>
      </c>
      <c r="AB133" s="15">
        <f>IF(OR(AB$126=0, $A133-AB$129&gt;AB$116, NOT($A133-AB$129&gt;0)), 0, IF($A133-AB$129=AB$116, AB$126-SUM(AB$131:AB132), ROUND(PPMT(AB$115, $A133-AB$129, AB$116, -AB$126), -3)))</f>
        <v>0</v>
      </c>
      <c r="AC133" s="15">
        <f>IF(OR(AC$126=0, $A133-AC$129&gt;AC$116, NOT($A133-AC$129&gt;0)), 0, IF($A133-AC$129=AC$116, AC$126-SUM(AC$131:AC132), ROUND(PPMT(AC$115, $A133-AC$129, AC$116, -AC$126), -3)))</f>
        <v>0</v>
      </c>
      <c r="AD133" s="15">
        <f>IF(OR(AD$126=0, $A133-AD$129&gt;AD$116, NOT($A133-AD$129&gt;0)), 0, IF($A133-AD$129=AD$116, AD$126-SUM(AD$131:AD132), ROUND(PPMT(AD$115, $A133-AD$129, AD$116, -AD$126), -3)))</f>
        <v>0</v>
      </c>
      <c r="AE133" s="15">
        <f>IF(OR(AE$126=0, $A133-AE$129&gt;AE$116, NOT($A133-AE$129&gt;0)), 0, IF($A133-AE$129=AE$116, AE$126-SUM(AE$131:AE132), ROUND(PPMT(AE$115, $A133-AE$129, AE$116, -AE$126), -3)))</f>
        <v>0</v>
      </c>
      <c r="AF133" s="15">
        <f>IF(OR(AF$126=0, $A133-AF$129&gt;AF$116, NOT($A133-AF$129&gt;0)), 0, IF($A133-AF$129=AF$116, AF$126-SUM(AF$131:AF132), ROUND(PPMT(AF$115, $A133-AF$129, AF$116, -AF$126), -3)))</f>
        <v>0</v>
      </c>
      <c r="AG133" s="15">
        <f>IF(OR(AG$126=0, $A133-AG$129&gt;AG$116, NOT($A133-AG$129&gt;0)), 0, IF($A133-AG$129=AG$116, AG$126-SUM(AG$131:AG132), ROUND(PPMT(AG$115, $A133-AG$129, AG$116, -AG$126), -3)))</f>
        <v>0</v>
      </c>
      <c r="AH133" s="15">
        <f>IF(OR(AH$126=0, $A133-AH$129&gt;AH$116, NOT($A133-AH$129&gt;0)), 0, IF($A133-AH$129=AH$116, AH$126-SUM(AH$131:AH132), ROUND(PPMT(AH$115, $A133-AH$129, AH$116, -AH$126), -3)))</f>
        <v>0</v>
      </c>
      <c r="AI133" s="15">
        <f>IF(OR(AI$126=0, $A133-AI$129&gt;AI$116, NOT($A133-AI$129&gt;0)), 0, IF($A133-AI$129=AI$116, AI$126-SUM(AI$131:AI132), ROUND(PPMT(AI$115, $A133-AI$129, AI$116, -AI$126), -3)))</f>
        <v>0</v>
      </c>
      <c r="AJ133" s="15">
        <f>IF(OR(AJ$126=0, $A133-AJ$129&gt;AJ$116, NOT($A133-AJ$129&gt;0)), 0, IF($A133-AJ$129=AJ$116, AJ$126-SUM(AJ$131:AJ132), ROUND(PPMT(AJ$115, $A133-AJ$129, AJ$116, -AJ$126), -3)))</f>
        <v>0</v>
      </c>
      <c r="AK133" s="15">
        <f>IF(OR(AK$126=0, $A133-AK$129&gt;AK$116, NOT($A133-AK$129&gt;0)), 0, IF($A133-AK$129=AK$116, AK$126-SUM(AK$131:AK132), ROUND(PPMT(AK$115, $A133-AK$129, AK$116, -AK$126), -3)))</f>
        <v>0</v>
      </c>
      <c r="AL133" s="15">
        <f>IF(OR(AL$126=0, $A133-AL$129&gt;AL$116, NOT($A133-AL$129&gt;0)), 0, IF($A133-AL$129=AL$116, AL$126-SUM(AL$131:AL132), ROUND(PPMT(AL$115, $A133-AL$129, AL$116, -AL$126), -3)))</f>
        <v>0</v>
      </c>
      <c r="AM133" s="15">
        <f>IF(OR(AM$126=0, $A133-AM$129&gt;AM$116, NOT($A133-AM$129&gt;0)), 0, IF($A133-AM$129=AM$116, AM$126-SUM(AM$131:AM132), ROUND(PPMT(AM$115, $A133-AM$129, AM$116, -AM$126), -3)))</f>
        <v>0</v>
      </c>
    </row>
    <row r="134" spans="1:39" outlineLevel="1">
      <c r="A134" s="40">
        <f t="shared" si="105"/>
        <v>2027</v>
      </c>
      <c r="B134" s="46"/>
      <c r="C134" s="15">
        <f>IF(OR(C$126=0, $A134-C$129&gt;C$116, NOT($A134-C$129&gt;0)), 0, IF($A134-C$129=C$116, C$126-SUM(C$131:C133), ROUND(PPMT(C$115, $A134-C$129, C$116, -C$126), -3)))</f>
        <v>2554000</v>
      </c>
      <c r="D134" s="15">
        <f>IF(OR(D$126=0, $A134-D$129&gt;D$116, NOT($A134-D$129&gt;0)), 0, IF($A134-D$129=D$116, D$126-SUM(D$131:D133), ROUND(PPMT(D$115, $A134-D$129, D$116, -D$126), -3)))</f>
        <v>2421000</v>
      </c>
      <c r="E134" s="15">
        <f>IF(OR(E$126=0, $A134-E$129&gt;E$116, NOT($A134-E$129&gt;0)), 0, IF($A134-E$129=E$116, E$126-SUM(E$131:E133), ROUND(PPMT(E$115, $A134-E$129, E$116, -E$126), -3)))</f>
        <v>2294000</v>
      </c>
      <c r="F134" s="46">
        <f>IF(OR(F$126=0, $A134-F$129&gt;F$116, NOT($A134-F$129&gt;0)), 0, IF($A134-F$129=F$116, F$126-SUM(F$131:F133), ROUND(PPMT(F$115, $A134-F$129, F$116, -F$126), -3)))</f>
        <v>0</v>
      </c>
      <c r="G134" s="15">
        <f>IF(OR(G$126=0, $A134-G$129&gt;G$116, NOT($A134-G$129&gt;0)), 0, IF($A134-G$129=G$116, G$126-SUM(G$131:G133), ROUND(PPMT(G$115, $A134-G$129, G$116, -G$126), -3)))</f>
        <v>0</v>
      </c>
      <c r="H134" s="15">
        <f>IF(OR(H$126=0, $A134-H$129&gt;H$116, NOT($A134-H$129&gt;0)), 0, IF($A134-H$129=H$116, H$126-SUM(H$131:H133), ROUND(PPMT(H$115, $A134-H$129, H$116, -H$126), -3)))</f>
        <v>0</v>
      </c>
      <c r="I134" s="15">
        <f>IF(OR(I$126=0, $A134-I$129&gt;I$116, NOT($A134-I$129&gt;0)), 0, IF($A134-I$129=I$116, I$126-SUM(I$131:I133), ROUND(PPMT(I$115, $A134-I$129, I$116, -I$126), -3)))</f>
        <v>0</v>
      </c>
      <c r="J134" s="15">
        <f>IF(OR(J$126=0, $A134-J$129&gt;J$116, NOT($A134-J$129&gt;0)), 0, IF($A134-J$129=J$116, J$126-SUM(J$131:J133), ROUND(PPMT(J$115, $A134-J$129, J$116, -J$126), -3)))</f>
        <v>0</v>
      </c>
      <c r="K134" s="15">
        <f>IF(OR(K$126=0, $A134-K$129&gt;K$116, NOT($A134-K$129&gt;0)), 0, IF($A134-K$129=K$116, K$126-SUM(K$131:K133), ROUND(PPMT(K$115, $A134-K$129, K$116, -K$126), -3)))</f>
        <v>0</v>
      </c>
      <c r="L134" s="15">
        <f>IF(OR(L$126=0, $A134-L$129&gt;L$116, NOT($A134-L$129&gt;0)), 0, IF($A134-L$129=L$116, L$126-SUM(L$131:L133), ROUND(PPMT(L$115, $A134-L$129, L$116, -L$126), -3)))</f>
        <v>0</v>
      </c>
      <c r="M134" s="15">
        <f>IF(OR(M$126=0, $A134-M$129&gt;M$116, NOT($A134-M$129&gt;0)), 0, IF($A134-M$129=M$116, M$126-SUM(M$131:M133), ROUND(PPMT(M$115, $A134-M$129, M$116, -M$126), -3)))</f>
        <v>0</v>
      </c>
      <c r="N134" s="15">
        <f>IF(OR(N$126=0, $A134-N$129&gt;N$116, NOT($A134-N$129&gt;0)), 0, IF($A134-N$129=N$116, N$126-SUM(N$131:N133), ROUND(PPMT(N$115, $A134-N$129, N$116, -N$126), -3)))</f>
        <v>0</v>
      </c>
      <c r="O134" s="15">
        <f>IF(OR(O$126=0, $A134-O$129&gt;O$116, NOT($A134-O$129&gt;0)), 0, IF($A134-O$129=O$116, O$126-SUM(O$131:O133), ROUND(PPMT(O$115, $A134-O$129, O$116, -O$126), -3)))</f>
        <v>0</v>
      </c>
      <c r="P134" s="15">
        <f>IF(OR(P$126=0, $A134-P$129&gt;P$116, NOT($A134-P$129&gt;0)), 0, IF($A134-P$129=P$116, P$126-SUM(P$131:P133), ROUND(PPMT(P$115, $A134-P$129, P$116, -P$126), -3)))</f>
        <v>0</v>
      </c>
      <c r="Q134" s="15">
        <f>IF(OR(Q$126=0, $A134-Q$129&gt;Q$116, NOT($A134-Q$129&gt;0)), 0, IF($A134-Q$129=Q$116, Q$126-SUM(Q$131:Q133), ROUND(PPMT(Q$115, $A134-Q$129, Q$116, -Q$126), -3)))</f>
        <v>0</v>
      </c>
      <c r="R134" s="15">
        <f>IF(OR(R$126=0, $A134-R$129&gt;R$116, NOT($A134-R$129&gt;0)), 0, IF($A134-R$129=R$116, R$126-SUM(R$131:R133), ROUND(PPMT(R$115, $A134-R$129, R$116, -R$126), -3)))</f>
        <v>0</v>
      </c>
      <c r="S134" s="15">
        <f>IF(OR(S$126=0, $A134-S$129&gt;S$116, NOT($A134-S$129&gt;0)), 0, IF($A134-S$129=S$116, S$126-SUM(S$131:S133), ROUND(PPMT(S$115, $A134-S$129, S$116, -S$126), -3)))</f>
        <v>0</v>
      </c>
      <c r="T134" s="15">
        <f>IF(OR(T$126=0, $A134-T$129&gt;T$116, NOT($A134-T$129&gt;0)), 0, IF($A134-T$129=T$116, T$126-SUM(T$131:T133), ROUND(PPMT(T$115, $A134-T$129, T$116, -T$126), -3)))</f>
        <v>0</v>
      </c>
      <c r="U134" s="15">
        <f>IF(OR(U$126=0, $A134-U$129&gt;U$116, NOT($A134-U$129&gt;0)), 0, IF($A134-U$129=U$116, U$126-SUM(U$131:U133), ROUND(PPMT(U$115, $A134-U$129, U$116, -U$126), -3)))</f>
        <v>0</v>
      </c>
      <c r="V134" s="15">
        <f>IF(OR(V$126=0, $A134-V$129&gt;V$116, NOT($A134-V$129&gt;0)), 0, IF($A134-V$129=V$116, V$126-SUM(V$131:V133), ROUND(PPMT(V$115, $A134-V$129, V$116, -V$126), -3)))</f>
        <v>0</v>
      </c>
      <c r="W134" s="15">
        <f>IF(OR(W$126=0, $A134-W$129&gt;W$116, NOT($A134-W$129&gt;0)), 0, IF($A134-W$129=W$116, W$126-SUM(W$131:W133), ROUND(PPMT(W$115, $A134-W$129, W$116, -W$126), -3)))</f>
        <v>0</v>
      </c>
      <c r="X134" s="15">
        <f>IF(OR(X$126=0, $A134-X$129&gt;X$116, NOT($A134-X$129&gt;0)), 0, IF($A134-X$129=X$116, X$126-SUM(X$131:X133), ROUND(PPMT(X$115, $A134-X$129, X$116, -X$126), -3)))</f>
        <v>0</v>
      </c>
      <c r="Y134" s="15">
        <f>IF(OR(Y$126=0, $A134-Y$129&gt;Y$116, NOT($A134-Y$129&gt;0)), 0, IF($A134-Y$129=Y$116, Y$126-SUM(Y$131:Y133), ROUND(PPMT(Y$115, $A134-Y$129, Y$116, -Y$126), -3)))</f>
        <v>0</v>
      </c>
      <c r="Z134" s="15">
        <f>IF(OR(Z$126=0, $A134-Z$129&gt;Z$116, NOT($A134-Z$129&gt;0)), 0, IF($A134-Z$129=Z$116, Z$126-SUM(Z$131:Z133), ROUND(PPMT(Z$115, $A134-Z$129, Z$116, -Z$126), -3)))</f>
        <v>0</v>
      </c>
      <c r="AA134" s="15">
        <f>IF(OR(AA$126=0, $A134-AA$129&gt;AA$116, NOT($A134-AA$129&gt;0)), 0, IF($A134-AA$129=AA$116, AA$126-SUM(AA$131:AA133), ROUND(PPMT(AA$115, $A134-AA$129, AA$116, -AA$126), -3)))</f>
        <v>0</v>
      </c>
      <c r="AB134" s="15">
        <f>IF(OR(AB$126=0, $A134-AB$129&gt;AB$116, NOT($A134-AB$129&gt;0)), 0, IF($A134-AB$129=AB$116, AB$126-SUM(AB$131:AB133), ROUND(PPMT(AB$115, $A134-AB$129, AB$116, -AB$126), -3)))</f>
        <v>0</v>
      </c>
      <c r="AC134" s="15">
        <f>IF(OR(AC$126=0, $A134-AC$129&gt;AC$116, NOT($A134-AC$129&gt;0)), 0, IF($A134-AC$129=AC$116, AC$126-SUM(AC$131:AC133), ROUND(PPMT(AC$115, $A134-AC$129, AC$116, -AC$126), -3)))</f>
        <v>0</v>
      </c>
      <c r="AD134" s="15">
        <f>IF(OR(AD$126=0, $A134-AD$129&gt;AD$116, NOT($A134-AD$129&gt;0)), 0, IF($A134-AD$129=AD$116, AD$126-SUM(AD$131:AD133), ROUND(PPMT(AD$115, $A134-AD$129, AD$116, -AD$126), -3)))</f>
        <v>0</v>
      </c>
      <c r="AE134" s="15">
        <f>IF(OR(AE$126=0, $A134-AE$129&gt;AE$116, NOT($A134-AE$129&gt;0)), 0, IF($A134-AE$129=AE$116, AE$126-SUM(AE$131:AE133), ROUND(PPMT(AE$115, $A134-AE$129, AE$116, -AE$126), -3)))</f>
        <v>0</v>
      </c>
      <c r="AF134" s="15">
        <f>IF(OR(AF$126=0, $A134-AF$129&gt;AF$116, NOT($A134-AF$129&gt;0)), 0, IF($A134-AF$129=AF$116, AF$126-SUM(AF$131:AF133), ROUND(PPMT(AF$115, $A134-AF$129, AF$116, -AF$126), -3)))</f>
        <v>0</v>
      </c>
      <c r="AG134" s="15">
        <f>IF(OR(AG$126=0, $A134-AG$129&gt;AG$116, NOT($A134-AG$129&gt;0)), 0, IF($A134-AG$129=AG$116, AG$126-SUM(AG$131:AG133), ROUND(PPMT(AG$115, $A134-AG$129, AG$116, -AG$126), -3)))</f>
        <v>0</v>
      </c>
      <c r="AH134" s="15">
        <f>IF(OR(AH$126=0, $A134-AH$129&gt;AH$116, NOT($A134-AH$129&gt;0)), 0, IF($A134-AH$129=AH$116, AH$126-SUM(AH$131:AH133), ROUND(PPMT(AH$115, $A134-AH$129, AH$116, -AH$126), -3)))</f>
        <v>0</v>
      </c>
      <c r="AI134" s="15">
        <f>IF(OR(AI$126=0, $A134-AI$129&gt;AI$116, NOT($A134-AI$129&gt;0)), 0, IF($A134-AI$129=AI$116, AI$126-SUM(AI$131:AI133), ROUND(PPMT(AI$115, $A134-AI$129, AI$116, -AI$126), -3)))</f>
        <v>0</v>
      </c>
      <c r="AJ134" s="15">
        <f>IF(OR(AJ$126=0, $A134-AJ$129&gt;AJ$116, NOT($A134-AJ$129&gt;0)), 0, IF($A134-AJ$129=AJ$116, AJ$126-SUM(AJ$131:AJ133), ROUND(PPMT(AJ$115, $A134-AJ$129, AJ$116, -AJ$126), -3)))</f>
        <v>0</v>
      </c>
      <c r="AK134" s="15">
        <f>IF(OR(AK$126=0, $A134-AK$129&gt;AK$116, NOT($A134-AK$129&gt;0)), 0, IF($A134-AK$129=AK$116, AK$126-SUM(AK$131:AK133), ROUND(PPMT(AK$115, $A134-AK$129, AK$116, -AK$126), -3)))</f>
        <v>0</v>
      </c>
      <c r="AL134" s="15">
        <f>IF(OR(AL$126=0, $A134-AL$129&gt;AL$116, NOT($A134-AL$129&gt;0)), 0, IF($A134-AL$129=AL$116, AL$126-SUM(AL$131:AL133), ROUND(PPMT(AL$115, $A134-AL$129, AL$116, -AL$126), -3)))</f>
        <v>0</v>
      </c>
      <c r="AM134" s="15">
        <f>IF(OR(AM$126=0, $A134-AM$129&gt;AM$116, NOT($A134-AM$129&gt;0)), 0, IF($A134-AM$129=AM$116, AM$126-SUM(AM$131:AM133), ROUND(PPMT(AM$115, $A134-AM$129, AM$116, -AM$126), -3)))</f>
        <v>0</v>
      </c>
    </row>
    <row r="135" spans="1:39" outlineLevel="1">
      <c r="A135" s="40">
        <f t="shared" si="105"/>
        <v>2028</v>
      </c>
      <c r="B135" s="46"/>
      <c r="C135" s="15">
        <f>IF(OR(C$126=0, $A135-C$129&gt;C$116, NOT($A135-C$129&gt;0)), 0, IF($A135-C$129=C$116, C$126-SUM(C$131:C134), ROUND(PPMT(C$115, $A135-C$129, C$116, -C$126), -3)))</f>
        <v>2694000</v>
      </c>
      <c r="D135" s="15">
        <f>IF(OR(D$126=0, $A135-D$129&gt;D$116, NOT($A135-D$129&gt;0)), 0, IF($A135-D$129=D$116, D$126-SUM(D$131:D134), ROUND(PPMT(D$115, $A135-D$129, D$116, -D$126), -3)))</f>
        <v>2554000</v>
      </c>
      <c r="E135" s="15">
        <f>IF(OR(E$126=0, $A135-E$129&gt;E$116, NOT($A135-E$129&gt;0)), 0, IF($A135-E$129=E$116, E$126-SUM(E$131:E134), ROUND(PPMT(E$115, $A135-E$129, E$116, -E$126), -3)))</f>
        <v>2421000</v>
      </c>
      <c r="F135" s="46">
        <f>IF(OR(F$126=0, $A135-F$129&gt;F$116, NOT($A135-F$129&gt;0)), 0, IF($A135-F$129=F$116, F$126-SUM(F$131:F134), ROUND(PPMT(F$115, $A135-F$129, F$116, -F$126), -3)))</f>
        <v>1569000</v>
      </c>
      <c r="G135" s="15">
        <f>IF(OR(G$126=0, $A135-G$129&gt;G$116, NOT($A135-G$129&gt;0)), 0, IF($A135-G$129=G$116, G$126-SUM(G$131:G134), ROUND(PPMT(G$115, $A135-G$129, G$116, -G$126), -3)))</f>
        <v>0</v>
      </c>
      <c r="H135" s="15">
        <f>IF(OR(H$126=0, $A135-H$129&gt;H$116, NOT($A135-H$129&gt;0)), 0, IF($A135-H$129=H$116, H$126-SUM(H$131:H134), ROUND(PPMT(H$115, $A135-H$129, H$116, -H$126), -3)))</f>
        <v>0</v>
      </c>
      <c r="I135" s="15">
        <f>IF(OR(I$126=0, $A135-I$129&gt;I$116, NOT($A135-I$129&gt;0)), 0, IF($A135-I$129=I$116, I$126-SUM(I$131:I134), ROUND(PPMT(I$115, $A135-I$129, I$116, -I$126), -3)))</f>
        <v>0</v>
      </c>
      <c r="J135" s="15">
        <f>IF(OR(J$126=0, $A135-J$129&gt;J$116, NOT($A135-J$129&gt;0)), 0, IF($A135-J$129=J$116, J$126-SUM(J$131:J134), ROUND(PPMT(J$115, $A135-J$129, J$116, -J$126), -3)))</f>
        <v>0</v>
      </c>
      <c r="K135" s="15">
        <f>IF(OR(K$126=0, $A135-K$129&gt;K$116, NOT($A135-K$129&gt;0)), 0, IF($A135-K$129=K$116, K$126-SUM(K$131:K134), ROUND(PPMT(K$115, $A135-K$129, K$116, -K$126), -3)))</f>
        <v>0</v>
      </c>
      <c r="L135" s="15">
        <f>IF(OR(L$126=0, $A135-L$129&gt;L$116, NOT($A135-L$129&gt;0)), 0, IF($A135-L$129=L$116, L$126-SUM(L$131:L134), ROUND(PPMT(L$115, $A135-L$129, L$116, -L$126), -3)))</f>
        <v>0</v>
      </c>
      <c r="M135" s="15">
        <f>IF(OR(M$126=0, $A135-M$129&gt;M$116, NOT($A135-M$129&gt;0)), 0, IF($A135-M$129=M$116, M$126-SUM(M$131:M134), ROUND(PPMT(M$115, $A135-M$129, M$116, -M$126), -3)))</f>
        <v>0</v>
      </c>
      <c r="N135" s="15">
        <f>IF(OR(N$126=0, $A135-N$129&gt;N$116, NOT($A135-N$129&gt;0)), 0, IF($A135-N$129=N$116, N$126-SUM(N$131:N134), ROUND(PPMT(N$115, $A135-N$129, N$116, -N$126), -3)))</f>
        <v>0</v>
      </c>
      <c r="O135" s="15">
        <f>IF(OR(O$126=0, $A135-O$129&gt;O$116, NOT($A135-O$129&gt;0)), 0, IF($A135-O$129=O$116, O$126-SUM(O$131:O134), ROUND(PPMT(O$115, $A135-O$129, O$116, -O$126), -3)))</f>
        <v>0</v>
      </c>
      <c r="P135" s="15">
        <f>IF(OR(P$126=0, $A135-P$129&gt;P$116, NOT($A135-P$129&gt;0)), 0, IF($A135-P$129=P$116, P$126-SUM(P$131:P134), ROUND(PPMT(P$115, $A135-P$129, P$116, -P$126), -3)))</f>
        <v>0</v>
      </c>
      <c r="Q135" s="15">
        <f>IF(OR(Q$126=0, $A135-Q$129&gt;Q$116, NOT($A135-Q$129&gt;0)), 0, IF($A135-Q$129=Q$116, Q$126-SUM(Q$131:Q134), ROUND(PPMT(Q$115, $A135-Q$129, Q$116, -Q$126), -3)))</f>
        <v>0</v>
      </c>
      <c r="R135" s="15">
        <f>IF(OR(R$126=0, $A135-R$129&gt;R$116, NOT($A135-R$129&gt;0)), 0, IF($A135-R$129=R$116, R$126-SUM(R$131:R134), ROUND(PPMT(R$115, $A135-R$129, R$116, -R$126), -3)))</f>
        <v>0</v>
      </c>
      <c r="S135" s="15">
        <f>IF(OR(S$126=0, $A135-S$129&gt;S$116, NOT($A135-S$129&gt;0)), 0, IF($A135-S$129=S$116, S$126-SUM(S$131:S134), ROUND(PPMT(S$115, $A135-S$129, S$116, -S$126), -3)))</f>
        <v>0</v>
      </c>
      <c r="T135" s="15">
        <f>IF(OR(T$126=0, $A135-T$129&gt;T$116, NOT($A135-T$129&gt;0)), 0, IF($A135-T$129=T$116, T$126-SUM(T$131:T134), ROUND(PPMT(T$115, $A135-T$129, T$116, -T$126), -3)))</f>
        <v>0</v>
      </c>
      <c r="U135" s="15">
        <f>IF(OR(U$126=0, $A135-U$129&gt;U$116, NOT($A135-U$129&gt;0)), 0, IF($A135-U$129=U$116, U$126-SUM(U$131:U134), ROUND(PPMT(U$115, $A135-U$129, U$116, -U$126), -3)))</f>
        <v>0</v>
      </c>
      <c r="V135" s="15">
        <f>IF(OR(V$126=0, $A135-V$129&gt;V$116, NOT($A135-V$129&gt;0)), 0, IF($A135-V$129=V$116, V$126-SUM(V$131:V134), ROUND(PPMT(V$115, $A135-V$129, V$116, -V$126), -3)))</f>
        <v>0</v>
      </c>
      <c r="W135" s="15">
        <f>IF(OR(W$126=0, $A135-W$129&gt;W$116, NOT($A135-W$129&gt;0)), 0, IF($A135-W$129=W$116, W$126-SUM(W$131:W134), ROUND(PPMT(W$115, $A135-W$129, W$116, -W$126), -3)))</f>
        <v>0</v>
      </c>
      <c r="X135" s="15">
        <f>IF(OR(X$126=0, $A135-X$129&gt;X$116, NOT($A135-X$129&gt;0)), 0, IF($A135-X$129=X$116, X$126-SUM(X$131:X134), ROUND(PPMT(X$115, $A135-X$129, X$116, -X$126), -3)))</f>
        <v>0</v>
      </c>
      <c r="Y135" s="15">
        <f>IF(OR(Y$126=0, $A135-Y$129&gt;Y$116, NOT($A135-Y$129&gt;0)), 0, IF($A135-Y$129=Y$116, Y$126-SUM(Y$131:Y134), ROUND(PPMT(Y$115, $A135-Y$129, Y$116, -Y$126), -3)))</f>
        <v>0</v>
      </c>
      <c r="Z135" s="15">
        <f>IF(OR(Z$126=0, $A135-Z$129&gt;Z$116, NOT($A135-Z$129&gt;0)), 0, IF($A135-Z$129=Z$116, Z$126-SUM(Z$131:Z134), ROUND(PPMT(Z$115, $A135-Z$129, Z$116, -Z$126), -3)))</f>
        <v>0</v>
      </c>
      <c r="AA135" s="15">
        <f>IF(OR(AA$126=0, $A135-AA$129&gt;AA$116, NOT($A135-AA$129&gt;0)), 0, IF($A135-AA$129=AA$116, AA$126-SUM(AA$131:AA134), ROUND(PPMT(AA$115, $A135-AA$129, AA$116, -AA$126), -3)))</f>
        <v>0</v>
      </c>
      <c r="AB135" s="15">
        <f>IF(OR(AB$126=0, $A135-AB$129&gt;AB$116, NOT($A135-AB$129&gt;0)), 0, IF($A135-AB$129=AB$116, AB$126-SUM(AB$131:AB134), ROUND(PPMT(AB$115, $A135-AB$129, AB$116, -AB$126), -3)))</f>
        <v>0</v>
      </c>
      <c r="AC135" s="15">
        <f>IF(OR(AC$126=0, $A135-AC$129&gt;AC$116, NOT($A135-AC$129&gt;0)), 0, IF($A135-AC$129=AC$116, AC$126-SUM(AC$131:AC134), ROUND(PPMT(AC$115, $A135-AC$129, AC$116, -AC$126), -3)))</f>
        <v>0</v>
      </c>
      <c r="AD135" s="15">
        <f>IF(OR(AD$126=0, $A135-AD$129&gt;AD$116, NOT($A135-AD$129&gt;0)), 0, IF($A135-AD$129=AD$116, AD$126-SUM(AD$131:AD134), ROUND(PPMT(AD$115, $A135-AD$129, AD$116, -AD$126), -3)))</f>
        <v>0</v>
      </c>
      <c r="AE135" s="15">
        <f>IF(OR(AE$126=0, $A135-AE$129&gt;AE$116, NOT($A135-AE$129&gt;0)), 0, IF($A135-AE$129=AE$116, AE$126-SUM(AE$131:AE134), ROUND(PPMT(AE$115, $A135-AE$129, AE$116, -AE$126), -3)))</f>
        <v>0</v>
      </c>
      <c r="AF135" s="15">
        <f>IF(OR(AF$126=0, $A135-AF$129&gt;AF$116, NOT($A135-AF$129&gt;0)), 0, IF($A135-AF$129=AF$116, AF$126-SUM(AF$131:AF134), ROUND(PPMT(AF$115, $A135-AF$129, AF$116, -AF$126), -3)))</f>
        <v>0</v>
      </c>
      <c r="AG135" s="15">
        <f>IF(OR(AG$126=0, $A135-AG$129&gt;AG$116, NOT($A135-AG$129&gt;0)), 0, IF($A135-AG$129=AG$116, AG$126-SUM(AG$131:AG134), ROUND(PPMT(AG$115, $A135-AG$129, AG$116, -AG$126), -3)))</f>
        <v>0</v>
      </c>
      <c r="AH135" s="15">
        <f>IF(OR(AH$126=0, $A135-AH$129&gt;AH$116, NOT($A135-AH$129&gt;0)), 0, IF($A135-AH$129=AH$116, AH$126-SUM(AH$131:AH134), ROUND(PPMT(AH$115, $A135-AH$129, AH$116, -AH$126), -3)))</f>
        <v>0</v>
      </c>
      <c r="AI135" s="15">
        <f>IF(OR(AI$126=0, $A135-AI$129&gt;AI$116, NOT($A135-AI$129&gt;0)), 0, IF($A135-AI$129=AI$116, AI$126-SUM(AI$131:AI134), ROUND(PPMT(AI$115, $A135-AI$129, AI$116, -AI$126), -3)))</f>
        <v>0</v>
      </c>
      <c r="AJ135" s="15">
        <f>IF(OR(AJ$126=0, $A135-AJ$129&gt;AJ$116, NOT($A135-AJ$129&gt;0)), 0, IF($A135-AJ$129=AJ$116, AJ$126-SUM(AJ$131:AJ134), ROUND(PPMT(AJ$115, $A135-AJ$129, AJ$116, -AJ$126), -3)))</f>
        <v>0</v>
      </c>
      <c r="AK135" s="15">
        <f>IF(OR(AK$126=0, $A135-AK$129&gt;AK$116, NOT($A135-AK$129&gt;0)), 0, IF($A135-AK$129=AK$116, AK$126-SUM(AK$131:AK134), ROUND(PPMT(AK$115, $A135-AK$129, AK$116, -AK$126), -3)))</f>
        <v>0</v>
      </c>
      <c r="AL135" s="15">
        <f>IF(OR(AL$126=0, $A135-AL$129&gt;AL$116, NOT($A135-AL$129&gt;0)), 0, IF($A135-AL$129=AL$116, AL$126-SUM(AL$131:AL134), ROUND(PPMT(AL$115, $A135-AL$129, AL$116, -AL$126), -3)))</f>
        <v>0</v>
      </c>
      <c r="AM135" s="15">
        <f>IF(OR(AM$126=0, $A135-AM$129&gt;AM$116, NOT($A135-AM$129&gt;0)), 0, IF($A135-AM$129=AM$116, AM$126-SUM(AM$131:AM134), ROUND(PPMT(AM$115, $A135-AM$129, AM$116, -AM$126), -3)))</f>
        <v>0</v>
      </c>
    </row>
    <row r="136" spans="1:39" outlineLevel="1">
      <c r="A136" s="40">
        <f t="shared" si="105"/>
        <v>2029</v>
      </c>
      <c r="B136" s="46"/>
      <c r="C136" s="15">
        <f>IF(OR(C$126=0, $A136-C$129&gt;C$116, NOT($A136-C$129&gt;0)), 0, IF($A136-C$129=C$116, C$126-SUM(C$131:C135), ROUND(PPMT(C$115, $A136-C$129, C$116, -C$126), -3)))</f>
        <v>2842000</v>
      </c>
      <c r="D136" s="15">
        <f>IF(OR(D$126=0, $A136-D$129&gt;D$116, NOT($A136-D$129&gt;0)), 0, IF($A136-D$129=D$116, D$126-SUM(D$131:D135), ROUND(PPMT(D$115, $A136-D$129, D$116, -D$126), -3)))</f>
        <v>2694000</v>
      </c>
      <c r="E136" s="15">
        <f>IF(OR(E$126=0, $A136-E$129&gt;E$116, NOT($A136-E$129&gt;0)), 0, IF($A136-E$129=E$116, E$126-SUM(E$131:E135), ROUND(PPMT(E$115, $A136-E$129, E$116, -E$126), -3)))</f>
        <v>2554000</v>
      </c>
      <c r="F136" s="46">
        <f>IF(OR(F$126=0, $A136-F$129&gt;F$116, NOT($A136-F$129&gt;0)), 0, IF($A136-F$129=F$116, F$126-SUM(F$131:F135), ROUND(PPMT(F$115, $A136-F$129, F$116, -F$126), -3)))</f>
        <v>1655000</v>
      </c>
      <c r="G136" s="15">
        <f>IF(OR(G$126=0, $A136-G$129&gt;G$116, NOT($A136-G$129&gt;0)), 0, IF($A136-G$129=G$116, G$126-SUM(G$131:G135), ROUND(PPMT(G$115, $A136-G$129, G$116, -G$126), -3)))</f>
        <v>0</v>
      </c>
      <c r="H136" s="15">
        <f>IF(OR(H$126=0, $A136-H$129&gt;H$116, NOT($A136-H$129&gt;0)), 0, IF($A136-H$129=H$116, H$126-SUM(H$131:H135), ROUND(PPMT(H$115, $A136-H$129, H$116, -H$126), -3)))</f>
        <v>0</v>
      </c>
      <c r="I136" s="15">
        <f>IF(OR(I$126=0, $A136-I$129&gt;I$116, NOT($A136-I$129&gt;0)), 0, IF($A136-I$129=I$116, I$126-SUM(I$131:I135), ROUND(PPMT(I$115, $A136-I$129, I$116, -I$126), -3)))</f>
        <v>0</v>
      </c>
      <c r="J136" s="15">
        <f>IF(OR(J$126=0, $A136-J$129&gt;J$116, NOT($A136-J$129&gt;0)), 0, IF($A136-J$129=J$116, J$126-SUM(J$131:J135), ROUND(PPMT(J$115, $A136-J$129, J$116, -J$126), -3)))</f>
        <v>0</v>
      </c>
      <c r="K136" s="15">
        <f>IF(OR(K$126=0, $A136-K$129&gt;K$116, NOT($A136-K$129&gt;0)), 0, IF($A136-K$129=K$116, K$126-SUM(K$131:K135), ROUND(PPMT(K$115, $A136-K$129, K$116, -K$126), -3)))</f>
        <v>0</v>
      </c>
      <c r="L136" s="15">
        <f>IF(OR(L$126=0, $A136-L$129&gt;L$116, NOT($A136-L$129&gt;0)), 0, IF($A136-L$129=L$116, L$126-SUM(L$131:L135), ROUND(PPMT(L$115, $A136-L$129, L$116, -L$126), -3)))</f>
        <v>0</v>
      </c>
      <c r="M136" s="15">
        <f>IF(OR(M$126=0, $A136-M$129&gt;M$116, NOT($A136-M$129&gt;0)), 0, IF($A136-M$129=M$116, M$126-SUM(M$131:M135), ROUND(PPMT(M$115, $A136-M$129, M$116, -M$126), -3)))</f>
        <v>0</v>
      </c>
      <c r="N136" s="15">
        <f>IF(OR(N$126=0, $A136-N$129&gt;N$116, NOT($A136-N$129&gt;0)), 0, IF($A136-N$129=N$116, N$126-SUM(N$131:N135), ROUND(PPMT(N$115, $A136-N$129, N$116, -N$126), -3)))</f>
        <v>0</v>
      </c>
      <c r="O136" s="15">
        <f>IF(OR(O$126=0, $A136-O$129&gt;O$116, NOT($A136-O$129&gt;0)), 0, IF($A136-O$129=O$116, O$126-SUM(O$131:O135), ROUND(PPMT(O$115, $A136-O$129, O$116, -O$126), -3)))</f>
        <v>0</v>
      </c>
      <c r="P136" s="15">
        <f>IF(OR(P$126=0, $A136-P$129&gt;P$116, NOT($A136-P$129&gt;0)), 0, IF($A136-P$129=P$116, P$126-SUM(P$131:P135), ROUND(PPMT(P$115, $A136-P$129, P$116, -P$126), -3)))</f>
        <v>0</v>
      </c>
      <c r="Q136" s="15">
        <f>IF(OR(Q$126=0, $A136-Q$129&gt;Q$116, NOT($A136-Q$129&gt;0)), 0, IF($A136-Q$129=Q$116, Q$126-SUM(Q$131:Q135), ROUND(PPMT(Q$115, $A136-Q$129, Q$116, -Q$126), -3)))</f>
        <v>0</v>
      </c>
      <c r="R136" s="15">
        <f>IF(OR(R$126=0, $A136-R$129&gt;R$116, NOT($A136-R$129&gt;0)), 0, IF($A136-R$129=R$116, R$126-SUM(R$131:R135), ROUND(PPMT(R$115, $A136-R$129, R$116, -R$126), -3)))</f>
        <v>0</v>
      </c>
      <c r="S136" s="15">
        <f>IF(OR(S$126=0, $A136-S$129&gt;S$116, NOT($A136-S$129&gt;0)), 0, IF($A136-S$129=S$116, S$126-SUM(S$131:S135), ROUND(PPMT(S$115, $A136-S$129, S$116, -S$126), -3)))</f>
        <v>0</v>
      </c>
      <c r="T136" s="15">
        <f>IF(OR(T$126=0, $A136-T$129&gt;T$116, NOT($A136-T$129&gt;0)), 0, IF($A136-T$129=T$116, T$126-SUM(T$131:T135), ROUND(PPMT(T$115, $A136-T$129, T$116, -T$126), -3)))</f>
        <v>0</v>
      </c>
      <c r="U136" s="15">
        <f>IF(OR(U$126=0, $A136-U$129&gt;U$116, NOT($A136-U$129&gt;0)), 0, IF($A136-U$129=U$116, U$126-SUM(U$131:U135), ROUND(PPMT(U$115, $A136-U$129, U$116, -U$126), -3)))</f>
        <v>0</v>
      </c>
      <c r="V136" s="15">
        <f>IF(OR(V$126=0, $A136-V$129&gt;V$116, NOT($A136-V$129&gt;0)), 0, IF($A136-V$129=V$116, V$126-SUM(V$131:V135), ROUND(PPMT(V$115, $A136-V$129, V$116, -V$126), -3)))</f>
        <v>0</v>
      </c>
      <c r="W136" s="15">
        <f>IF(OR(W$126=0, $A136-W$129&gt;W$116, NOT($A136-W$129&gt;0)), 0, IF($A136-W$129=W$116, W$126-SUM(W$131:W135), ROUND(PPMT(W$115, $A136-W$129, W$116, -W$126), -3)))</f>
        <v>0</v>
      </c>
      <c r="X136" s="15">
        <f>IF(OR(X$126=0, $A136-X$129&gt;X$116, NOT($A136-X$129&gt;0)), 0, IF($A136-X$129=X$116, X$126-SUM(X$131:X135), ROUND(PPMT(X$115, $A136-X$129, X$116, -X$126), -3)))</f>
        <v>0</v>
      </c>
      <c r="Y136" s="15">
        <f>IF(OR(Y$126=0, $A136-Y$129&gt;Y$116, NOT($A136-Y$129&gt;0)), 0, IF($A136-Y$129=Y$116, Y$126-SUM(Y$131:Y135), ROUND(PPMT(Y$115, $A136-Y$129, Y$116, -Y$126), -3)))</f>
        <v>0</v>
      </c>
      <c r="Z136" s="15">
        <f>IF(OR(Z$126=0, $A136-Z$129&gt;Z$116, NOT($A136-Z$129&gt;0)), 0, IF($A136-Z$129=Z$116, Z$126-SUM(Z$131:Z135), ROUND(PPMT(Z$115, $A136-Z$129, Z$116, -Z$126), -3)))</f>
        <v>0</v>
      </c>
      <c r="AA136" s="15">
        <f>IF(OR(AA$126=0, $A136-AA$129&gt;AA$116, NOT($A136-AA$129&gt;0)), 0, IF($A136-AA$129=AA$116, AA$126-SUM(AA$131:AA135), ROUND(PPMT(AA$115, $A136-AA$129, AA$116, -AA$126), -3)))</f>
        <v>0</v>
      </c>
      <c r="AB136" s="15">
        <f>IF(OR(AB$126=0, $A136-AB$129&gt;AB$116, NOT($A136-AB$129&gt;0)), 0, IF($A136-AB$129=AB$116, AB$126-SUM(AB$131:AB135), ROUND(PPMT(AB$115, $A136-AB$129, AB$116, -AB$126), -3)))</f>
        <v>0</v>
      </c>
      <c r="AC136" s="15">
        <f>IF(OR(AC$126=0, $A136-AC$129&gt;AC$116, NOT($A136-AC$129&gt;0)), 0, IF($A136-AC$129=AC$116, AC$126-SUM(AC$131:AC135), ROUND(PPMT(AC$115, $A136-AC$129, AC$116, -AC$126), -3)))</f>
        <v>0</v>
      </c>
      <c r="AD136" s="15">
        <f>IF(OR(AD$126=0, $A136-AD$129&gt;AD$116, NOT($A136-AD$129&gt;0)), 0, IF($A136-AD$129=AD$116, AD$126-SUM(AD$131:AD135), ROUND(PPMT(AD$115, $A136-AD$129, AD$116, -AD$126), -3)))</f>
        <v>0</v>
      </c>
      <c r="AE136" s="15">
        <f>IF(OR(AE$126=0, $A136-AE$129&gt;AE$116, NOT($A136-AE$129&gt;0)), 0, IF($A136-AE$129=AE$116, AE$126-SUM(AE$131:AE135), ROUND(PPMT(AE$115, $A136-AE$129, AE$116, -AE$126), -3)))</f>
        <v>0</v>
      </c>
      <c r="AF136" s="15">
        <f>IF(OR(AF$126=0, $A136-AF$129&gt;AF$116, NOT($A136-AF$129&gt;0)), 0, IF($A136-AF$129=AF$116, AF$126-SUM(AF$131:AF135), ROUND(PPMT(AF$115, $A136-AF$129, AF$116, -AF$126), -3)))</f>
        <v>0</v>
      </c>
      <c r="AG136" s="15">
        <f>IF(OR(AG$126=0, $A136-AG$129&gt;AG$116, NOT($A136-AG$129&gt;0)), 0, IF($A136-AG$129=AG$116, AG$126-SUM(AG$131:AG135), ROUND(PPMT(AG$115, $A136-AG$129, AG$116, -AG$126), -3)))</f>
        <v>0</v>
      </c>
      <c r="AH136" s="15">
        <f>IF(OR(AH$126=0, $A136-AH$129&gt;AH$116, NOT($A136-AH$129&gt;0)), 0, IF($A136-AH$129=AH$116, AH$126-SUM(AH$131:AH135), ROUND(PPMT(AH$115, $A136-AH$129, AH$116, -AH$126), -3)))</f>
        <v>0</v>
      </c>
      <c r="AI136" s="15">
        <f>IF(OR(AI$126=0, $A136-AI$129&gt;AI$116, NOT($A136-AI$129&gt;0)), 0, IF($A136-AI$129=AI$116, AI$126-SUM(AI$131:AI135), ROUND(PPMT(AI$115, $A136-AI$129, AI$116, -AI$126), -3)))</f>
        <v>0</v>
      </c>
      <c r="AJ136" s="15">
        <f>IF(OR(AJ$126=0, $A136-AJ$129&gt;AJ$116, NOT($A136-AJ$129&gt;0)), 0, IF($A136-AJ$129=AJ$116, AJ$126-SUM(AJ$131:AJ135), ROUND(PPMT(AJ$115, $A136-AJ$129, AJ$116, -AJ$126), -3)))</f>
        <v>0</v>
      </c>
      <c r="AK136" s="15">
        <f>IF(OR(AK$126=0, $A136-AK$129&gt;AK$116, NOT($A136-AK$129&gt;0)), 0, IF($A136-AK$129=AK$116, AK$126-SUM(AK$131:AK135), ROUND(PPMT(AK$115, $A136-AK$129, AK$116, -AK$126), -3)))</f>
        <v>0</v>
      </c>
      <c r="AL136" s="15">
        <f>IF(OR(AL$126=0, $A136-AL$129&gt;AL$116, NOT($A136-AL$129&gt;0)), 0, IF($A136-AL$129=AL$116, AL$126-SUM(AL$131:AL135), ROUND(PPMT(AL$115, $A136-AL$129, AL$116, -AL$126), -3)))</f>
        <v>0</v>
      </c>
      <c r="AM136" s="15">
        <f>IF(OR(AM$126=0, $A136-AM$129&gt;AM$116, NOT($A136-AM$129&gt;0)), 0, IF($A136-AM$129=AM$116, AM$126-SUM(AM$131:AM135), ROUND(PPMT(AM$115, $A136-AM$129, AM$116, -AM$126), -3)))</f>
        <v>0</v>
      </c>
    </row>
    <row r="137" spans="1:39" outlineLevel="1">
      <c r="A137" s="40">
        <f t="shared" si="105"/>
        <v>2030</v>
      </c>
      <c r="B137" s="46"/>
      <c r="C137" s="15">
        <f>IF(OR(C$126=0, $A137-C$129&gt;C$116, NOT($A137-C$129&gt;0)), 0, IF($A137-C$129=C$116, C$126-SUM(C$131:C136), ROUND(PPMT(C$115, $A137-C$129, C$116, -C$126), -3)))</f>
        <v>2999000</v>
      </c>
      <c r="D137" s="15">
        <f>IF(OR(D$126=0, $A137-D$129&gt;D$116, NOT($A137-D$129&gt;0)), 0, IF($A137-D$129=D$116, D$126-SUM(D$131:D136), ROUND(PPMT(D$115, $A137-D$129, D$116, -D$126), -3)))</f>
        <v>2842000</v>
      </c>
      <c r="E137" s="15">
        <f>IF(OR(E$126=0, $A137-E$129&gt;E$116, NOT($A137-E$129&gt;0)), 0, IF($A137-E$129=E$116, E$126-SUM(E$131:E136), ROUND(PPMT(E$115, $A137-E$129, E$116, -E$126), -3)))</f>
        <v>2694000</v>
      </c>
      <c r="F137" s="46">
        <f>IF(OR(F$126=0, $A137-F$129&gt;F$116, NOT($A137-F$129&gt;0)), 0, IF($A137-F$129=F$116, F$126-SUM(F$131:F136), ROUND(PPMT(F$115, $A137-F$129, F$116, -F$126), -3)))</f>
        <v>1746000</v>
      </c>
      <c r="G137" s="15">
        <f>IF(OR(G$126=0, $A137-G$129&gt;G$116, NOT($A137-G$129&gt;0)), 0, IF($A137-G$129=G$116, G$126-SUM(G$131:G136), ROUND(PPMT(G$115, $A137-G$129, G$116, -G$126), -3)))</f>
        <v>0</v>
      </c>
      <c r="H137" s="15">
        <f>IF(OR(H$126=0, $A137-H$129&gt;H$116, NOT($A137-H$129&gt;0)), 0, IF($A137-H$129=H$116, H$126-SUM(H$131:H136), ROUND(PPMT(H$115, $A137-H$129, H$116, -H$126), -3)))</f>
        <v>0</v>
      </c>
      <c r="I137" s="15">
        <f>IF(OR(I$126=0, $A137-I$129&gt;I$116, NOT($A137-I$129&gt;0)), 0, IF($A137-I$129=I$116, I$126-SUM(I$131:I136), ROUND(PPMT(I$115, $A137-I$129, I$116, -I$126), -3)))</f>
        <v>0</v>
      </c>
      <c r="J137" s="15">
        <f>IF(OR(J$126=0, $A137-J$129&gt;J$116, NOT($A137-J$129&gt;0)), 0, IF($A137-J$129=J$116, J$126-SUM(J$131:J136), ROUND(PPMT(J$115, $A137-J$129, J$116, -J$126), -3)))</f>
        <v>0</v>
      </c>
      <c r="K137" s="15">
        <f>IF(OR(K$126=0, $A137-K$129&gt;K$116, NOT($A137-K$129&gt;0)), 0, IF($A137-K$129=K$116, K$126-SUM(K$131:K136), ROUND(PPMT(K$115, $A137-K$129, K$116, -K$126), -3)))</f>
        <v>0</v>
      </c>
      <c r="L137" s="15">
        <f>IF(OR(L$126=0, $A137-L$129&gt;L$116, NOT($A137-L$129&gt;0)), 0, IF($A137-L$129=L$116, L$126-SUM(L$131:L136), ROUND(PPMT(L$115, $A137-L$129, L$116, -L$126), -3)))</f>
        <v>0</v>
      </c>
      <c r="M137" s="15">
        <f>IF(OR(M$126=0, $A137-M$129&gt;M$116, NOT($A137-M$129&gt;0)), 0, IF($A137-M$129=M$116, M$126-SUM(M$131:M136), ROUND(PPMT(M$115, $A137-M$129, M$116, -M$126), -3)))</f>
        <v>0</v>
      </c>
      <c r="N137" s="15">
        <f>IF(OR(N$126=0, $A137-N$129&gt;N$116, NOT($A137-N$129&gt;0)), 0, IF($A137-N$129=N$116, N$126-SUM(N$131:N136), ROUND(PPMT(N$115, $A137-N$129, N$116, -N$126), -3)))</f>
        <v>0</v>
      </c>
      <c r="O137" s="15">
        <f>IF(OR(O$126=0, $A137-O$129&gt;O$116, NOT($A137-O$129&gt;0)), 0, IF($A137-O$129=O$116, O$126-SUM(O$131:O136), ROUND(PPMT(O$115, $A137-O$129, O$116, -O$126), -3)))</f>
        <v>0</v>
      </c>
      <c r="P137" s="15">
        <f>IF(OR(P$126=0, $A137-P$129&gt;P$116, NOT($A137-P$129&gt;0)), 0, IF($A137-P$129=P$116, P$126-SUM(P$131:P136), ROUND(PPMT(P$115, $A137-P$129, P$116, -P$126), -3)))</f>
        <v>0</v>
      </c>
      <c r="Q137" s="15">
        <f>IF(OR(Q$126=0, $A137-Q$129&gt;Q$116, NOT($A137-Q$129&gt;0)), 0, IF($A137-Q$129=Q$116, Q$126-SUM(Q$131:Q136), ROUND(PPMT(Q$115, $A137-Q$129, Q$116, -Q$126), -3)))</f>
        <v>0</v>
      </c>
      <c r="R137" s="15">
        <f>IF(OR(R$126=0, $A137-R$129&gt;R$116, NOT($A137-R$129&gt;0)), 0, IF($A137-R$129=R$116, R$126-SUM(R$131:R136), ROUND(PPMT(R$115, $A137-R$129, R$116, -R$126), -3)))</f>
        <v>0</v>
      </c>
      <c r="S137" s="15">
        <f>IF(OR(S$126=0, $A137-S$129&gt;S$116, NOT($A137-S$129&gt;0)), 0, IF($A137-S$129=S$116, S$126-SUM(S$131:S136), ROUND(PPMT(S$115, $A137-S$129, S$116, -S$126), -3)))</f>
        <v>0</v>
      </c>
      <c r="T137" s="15">
        <f>IF(OR(T$126=0, $A137-T$129&gt;T$116, NOT($A137-T$129&gt;0)), 0, IF($A137-T$129=T$116, T$126-SUM(T$131:T136), ROUND(PPMT(T$115, $A137-T$129, T$116, -T$126), -3)))</f>
        <v>0</v>
      </c>
      <c r="U137" s="15">
        <f>IF(OR(U$126=0, $A137-U$129&gt;U$116, NOT($A137-U$129&gt;0)), 0, IF($A137-U$129=U$116, U$126-SUM(U$131:U136), ROUND(PPMT(U$115, $A137-U$129, U$116, -U$126), -3)))</f>
        <v>0</v>
      </c>
      <c r="V137" s="15">
        <f>IF(OR(V$126=0, $A137-V$129&gt;V$116, NOT($A137-V$129&gt;0)), 0, IF($A137-V$129=V$116, V$126-SUM(V$131:V136), ROUND(PPMT(V$115, $A137-V$129, V$116, -V$126), -3)))</f>
        <v>0</v>
      </c>
      <c r="W137" s="15">
        <f>IF(OR(W$126=0, $A137-W$129&gt;W$116, NOT($A137-W$129&gt;0)), 0, IF($A137-W$129=W$116, W$126-SUM(W$131:W136), ROUND(PPMT(W$115, $A137-W$129, W$116, -W$126), -3)))</f>
        <v>0</v>
      </c>
      <c r="X137" s="15">
        <f>IF(OR(X$126=0, $A137-X$129&gt;X$116, NOT($A137-X$129&gt;0)), 0, IF($A137-X$129=X$116, X$126-SUM(X$131:X136), ROUND(PPMT(X$115, $A137-X$129, X$116, -X$126), -3)))</f>
        <v>0</v>
      </c>
      <c r="Y137" s="15">
        <f>IF(OR(Y$126=0, $A137-Y$129&gt;Y$116, NOT($A137-Y$129&gt;0)), 0, IF($A137-Y$129=Y$116, Y$126-SUM(Y$131:Y136), ROUND(PPMT(Y$115, $A137-Y$129, Y$116, -Y$126), -3)))</f>
        <v>0</v>
      </c>
      <c r="Z137" s="15">
        <f>IF(OR(Z$126=0, $A137-Z$129&gt;Z$116, NOT($A137-Z$129&gt;0)), 0, IF($A137-Z$129=Z$116, Z$126-SUM(Z$131:Z136), ROUND(PPMT(Z$115, $A137-Z$129, Z$116, -Z$126), -3)))</f>
        <v>0</v>
      </c>
      <c r="AA137" s="15">
        <f>IF(OR(AA$126=0, $A137-AA$129&gt;AA$116, NOT($A137-AA$129&gt;0)), 0, IF($A137-AA$129=AA$116, AA$126-SUM(AA$131:AA136), ROUND(PPMT(AA$115, $A137-AA$129, AA$116, -AA$126), -3)))</f>
        <v>0</v>
      </c>
      <c r="AB137" s="15">
        <f>IF(OR(AB$126=0, $A137-AB$129&gt;AB$116, NOT($A137-AB$129&gt;0)), 0, IF($A137-AB$129=AB$116, AB$126-SUM(AB$131:AB136), ROUND(PPMT(AB$115, $A137-AB$129, AB$116, -AB$126), -3)))</f>
        <v>0</v>
      </c>
      <c r="AC137" s="15">
        <f>IF(OR(AC$126=0, $A137-AC$129&gt;AC$116, NOT($A137-AC$129&gt;0)), 0, IF($A137-AC$129=AC$116, AC$126-SUM(AC$131:AC136), ROUND(PPMT(AC$115, $A137-AC$129, AC$116, -AC$126), -3)))</f>
        <v>0</v>
      </c>
      <c r="AD137" s="15">
        <f>IF(OR(AD$126=0, $A137-AD$129&gt;AD$116, NOT($A137-AD$129&gt;0)), 0, IF($A137-AD$129=AD$116, AD$126-SUM(AD$131:AD136), ROUND(PPMT(AD$115, $A137-AD$129, AD$116, -AD$126), -3)))</f>
        <v>0</v>
      </c>
      <c r="AE137" s="15">
        <f>IF(OR(AE$126=0, $A137-AE$129&gt;AE$116, NOT($A137-AE$129&gt;0)), 0, IF($A137-AE$129=AE$116, AE$126-SUM(AE$131:AE136), ROUND(PPMT(AE$115, $A137-AE$129, AE$116, -AE$126), -3)))</f>
        <v>0</v>
      </c>
      <c r="AF137" s="15">
        <f>IF(OR(AF$126=0, $A137-AF$129&gt;AF$116, NOT($A137-AF$129&gt;0)), 0, IF($A137-AF$129=AF$116, AF$126-SUM(AF$131:AF136), ROUND(PPMT(AF$115, $A137-AF$129, AF$116, -AF$126), -3)))</f>
        <v>0</v>
      </c>
      <c r="AG137" s="15">
        <f>IF(OR(AG$126=0, $A137-AG$129&gt;AG$116, NOT($A137-AG$129&gt;0)), 0, IF($A137-AG$129=AG$116, AG$126-SUM(AG$131:AG136), ROUND(PPMT(AG$115, $A137-AG$129, AG$116, -AG$126), -3)))</f>
        <v>0</v>
      </c>
      <c r="AH137" s="15">
        <f>IF(OR(AH$126=0, $A137-AH$129&gt;AH$116, NOT($A137-AH$129&gt;0)), 0, IF($A137-AH$129=AH$116, AH$126-SUM(AH$131:AH136), ROUND(PPMT(AH$115, $A137-AH$129, AH$116, -AH$126), -3)))</f>
        <v>0</v>
      </c>
      <c r="AI137" s="15">
        <f>IF(OR(AI$126=0, $A137-AI$129&gt;AI$116, NOT($A137-AI$129&gt;0)), 0, IF($A137-AI$129=AI$116, AI$126-SUM(AI$131:AI136), ROUND(PPMT(AI$115, $A137-AI$129, AI$116, -AI$126), -3)))</f>
        <v>0</v>
      </c>
      <c r="AJ137" s="15">
        <f>IF(OR(AJ$126=0, $A137-AJ$129&gt;AJ$116, NOT($A137-AJ$129&gt;0)), 0, IF($A137-AJ$129=AJ$116, AJ$126-SUM(AJ$131:AJ136), ROUND(PPMT(AJ$115, $A137-AJ$129, AJ$116, -AJ$126), -3)))</f>
        <v>0</v>
      </c>
      <c r="AK137" s="15">
        <f>IF(OR(AK$126=0, $A137-AK$129&gt;AK$116, NOT($A137-AK$129&gt;0)), 0, IF($A137-AK$129=AK$116, AK$126-SUM(AK$131:AK136), ROUND(PPMT(AK$115, $A137-AK$129, AK$116, -AK$126), -3)))</f>
        <v>0</v>
      </c>
      <c r="AL137" s="15">
        <f>IF(OR(AL$126=0, $A137-AL$129&gt;AL$116, NOT($A137-AL$129&gt;0)), 0, IF($A137-AL$129=AL$116, AL$126-SUM(AL$131:AL136), ROUND(PPMT(AL$115, $A137-AL$129, AL$116, -AL$126), -3)))</f>
        <v>0</v>
      </c>
      <c r="AM137" s="15">
        <f>IF(OR(AM$126=0, $A137-AM$129&gt;AM$116, NOT($A137-AM$129&gt;0)), 0, IF($A137-AM$129=AM$116, AM$126-SUM(AM$131:AM136), ROUND(PPMT(AM$115, $A137-AM$129, AM$116, -AM$126), -3)))</f>
        <v>0</v>
      </c>
    </row>
    <row r="138" spans="1:39" outlineLevel="1">
      <c r="A138" s="40">
        <f t="shared" si="105"/>
        <v>2031</v>
      </c>
      <c r="B138" s="46"/>
      <c r="C138" s="15">
        <f>IF(OR(C$126=0, $A138-C$129&gt;C$116, NOT($A138-C$129&gt;0)), 0, IF($A138-C$129=C$116, C$126-SUM(C$131:C137), ROUND(PPMT(C$115, $A138-C$129, C$116, -C$126), -3)))</f>
        <v>3164000</v>
      </c>
      <c r="D138" s="15">
        <f>IF(OR(D$126=0, $A138-D$129&gt;D$116, NOT($A138-D$129&gt;0)), 0, IF($A138-D$129=D$116, D$126-SUM(D$131:D137), ROUND(PPMT(D$115, $A138-D$129, D$116, -D$126), -3)))</f>
        <v>2999000</v>
      </c>
      <c r="E138" s="15">
        <f>IF(OR(E$126=0, $A138-E$129&gt;E$116, NOT($A138-E$129&gt;0)), 0, IF($A138-E$129=E$116, E$126-SUM(E$131:E137), ROUND(PPMT(E$115, $A138-E$129, E$116, -E$126), -3)))</f>
        <v>2842000</v>
      </c>
      <c r="F138" s="46">
        <f>IF(OR(F$126=0, $A138-F$129&gt;F$116, NOT($A138-F$129&gt;0)), 0, IF($A138-F$129=F$116, F$126-SUM(F$131:F137), ROUND(PPMT(F$115, $A138-F$129, F$116, -F$126), -3)))</f>
        <v>1842000</v>
      </c>
      <c r="G138" s="15">
        <f>IF(OR(G$126=0, $A138-G$129&gt;G$116, NOT($A138-G$129&gt;0)), 0, IF($A138-G$129=G$116, G$126-SUM(G$131:G137), ROUND(PPMT(G$115, $A138-G$129, G$116, -G$126), -3)))</f>
        <v>0</v>
      </c>
      <c r="H138" s="15">
        <f>IF(OR(H$126=0, $A138-H$129&gt;H$116, NOT($A138-H$129&gt;0)), 0, IF($A138-H$129=H$116, H$126-SUM(H$131:H137), ROUND(PPMT(H$115, $A138-H$129, H$116, -H$126), -3)))</f>
        <v>0</v>
      </c>
      <c r="I138" s="15">
        <f>IF(OR(I$126=0, $A138-I$129&gt;I$116, NOT($A138-I$129&gt;0)), 0, IF($A138-I$129=I$116, I$126-SUM(I$131:I137), ROUND(PPMT(I$115, $A138-I$129, I$116, -I$126), -3)))</f>
        <v>1883000</v>
      </c>
      <c r="J138" s="15">
        <f>IF(OR(J$126=0, $A138-J$129&gt;J$116, NOT($A138-J$129&gt;0)), 0, IF($A138-J$129=J$116, J$126-SUM(J$131:J137), ROUND(PPMT(J$115, $A138-J$129, J$116, -J$126), -3)))</f>
        <v>0</v>
      </c>
      <c r="K138" s="15">
        <f>IF(OR(K$126=0, $A138-K$129&gt;K$116, NOT($A138-K$129&gt;0)), 0, IF($A138-K$129=K$116, K$126-SUM(K$131:K137), ROUND(PPMT(K$115, $A138-K$129, K$116, -K$126), -3)))</f>
        <v>0</v>
      </c>
      <c r="L138" s="15">
        <f>IF(OR(L$126=0, $A138-L$129&gt;L$116, NOT($A138-L$129&gt;0)), 0, IF($A138-L$129=L$116, L$126-SUM(L$131:L137), ROUND(PPMT(L$115, $A138-L$129, L$116, -L$126), -3)))</f>
        <v>0</v>
      </c>
      <c r="M138" s="15">
        <f>IF(OR(M$126=0, $A138-M$129&gt;M$116, NOT($A138-M$129&gt;0)), 0, IF($A138-M$129=M$116, M$126-SUM(M$131:M137), ROUND(PPMT(M$115, $A138-M$129, M$116, -M$126), -3)))</f>
        <v>0</v>
      </c>
      <c r="N138" s="15">
        <f>IF(OR(N$126=0, $A138-N$129&gt;N$116, NOT($A138-N$129&gt;0)), 0, IF($A138-N$129=N$116, N$126-SUM(N$131:N137), ROUND(PPMT(N$115, $A138-N$129, N$116, -N$126), -3)))</f>
        <v>0</v>
      </c>
      <c r="O138" s="15">
        <f>IF(OR(O$126=0, $A138-O$129&gt;O$116, NOT($A138-O$129&gt;0)), 0, IF($A138-O$129=O$116, O$126-SUM(O$131:O137), ROUND(PPMT(O$115, $A138-O$129, O$116, -O$126), -3)))</f>
        <v>0</v>
      </c>
      <c r="P138" s="15">
        <f>IF(OR(P$126=0, $A138-P$129&gt;P$116, NOT($A138-P$129&gt;0)), 0, IF($A138-P$129=P$116, P$126-SUM(P$131:P137), ROUND(PPMT(P$115, $A138-P$129, P$116, -P$126), -3)))</f>
        <v>0</v>
      </c>
      <c r="Q138" s="15">
        <f>IF(OR(Q$126=0, $A138-Q$129&gt;Q$116, NOT($A138-Q$129&gt;0)), 0, IF($A138-Q$129=Q$116, Q$126-SUM(Q$131:Q137), ROUND(PPMT(Q$115, $A138-Q$129, Q$116, -Q$126), -3)))</f>
        <v>0</v>
      </c>
      <c r="R138" s="15">
        <f>IF(OR(R$126=0, $A138-R$129&gt;R$116, NOT($A138-R$129&gt;0)), 0, IF($A138-R$129=R$116, R$126-SUM(R$131:R137), ROUND(PPMT(R$115, $A138-R$129, R$116, -R$126), -3)))</f>
        <v>0</v>
      </c>
      <c r="S138" s="15">
        <f>IF(OR(S$126=0, $A138-S$129&gt;S$116, NOT($A138-S$129&gt;0)), 0, IF($A138-S$129=S$116, S$126-SUM(S$131:S137), ROUND(PPMT(S$115, $A138-S$129, S$116, -S$126), -3)))</f>
        <v>0</v>
      </c>
      <c r="T138" s="15">
        <f>IF(OR(T$126=0, $A138-T$129&gt;T$116, NOT($A138-T$129&gt;0)), 0, IF($A138-T$129=T$116, T$126-SUM(T$131:T137), ROUND(PPMT(T$115, $A138-T$129, T$116, -T$126), -3)))</f>
        <v>0</v>
      </c>
      <c r="U138" s="15">
        <f>IF(OR(U$126=0, $A138-U$129&gt;U$116, NOT($A138-U$129&gt;0)), 0, IF($A138-U$129=U$116, U$126-SUM(U$131:U137), ROUND(PPMT(U$115, $A138-U$129, U$116, -U$126), -3)))</f>
        <v>0</v>
      </c>
      <c r="V138" s="15">
        <f>IF(OR(V$126=0, $A138-V$129&gt;V$116, NOT($A138-V$129&gt;0)), 0, IF($A138-V$129=V$116, V$126-SUM(V$131:V137), ROUND(PPMT(V$115, $A138-V$129, V$116, -V$126), -3)))</f>
        <v>0</v>
      </c>
      <c r="W138" s="15">
        <f>IF(OR(W$126=0, $A138-W$129&gt;W$116, NOT($A138-W$129&gt;0)), 0, IF($A138-W$129=W$116, W$126-SUM(W$131:W137), ROUND(PPMT(W$115, $A138-W$129, W$116, -W$126), -3)))</f>
        <v>0</v>
      </c>
      <c r="X138" s="15">
        <f>IF(OR(X$126=0, $A138-X$129&gt;X$116, NOT($A138-X$129&gt;0)), 0, IF($A138-X$129=X$116, X$126-SUM(X$131:X137), ROUND(PPMT(X$115, $A138-X$129, X$116, -X$126), -3)))</f>
        <v>0</v>
      </c>
      <c r="Y138" s="15">
        <f>IF(OR(Y$126=0, $A138-Y$129&gt;Y$116, NOT($A138-Y$129&gt;0)), 0, IF($A138-Y$129=Y$116, Y$126-SUM(Y$131:Y137), ROUND(PPMT(Y$115, $A138-Y$129, Y$116, -Y$126), -3)))</f>
        <v>0</v>
      </c>
      <c r="Z138" s="15">
        <f>IF(OR(Z$126=0, $A138-Z$129&gt;Z$116, NOT($A138-Z$129&gt;0)), 0, IF($A138-Z$129=Z$116, Z$126-SUM(Z$131:Z137), ROUND(PPMT(Z$115, $A138-Z$129, Z$116, -Z$126), -3)))</f>
        <v>0</v>
      </c>
      <c r="AA138" s="15">
        <f>IF(OR(AA$126=0, $A138-AA$129&gt;AA$116, NOT($A138-AA$129&gt;0)), 0, IF($A138-AA$129=AA$116, AA$126-SUM(AA$131:AA137), ROUND(PPMT(AA$115, $A138-AA$129, AA$116, -AA$126), -3)))</f>
        <v>0</v>
      </c>
      <c r="AB138" s="15">
        <f>IF(OR(AB$126=0, $A138-AB$129&gt;AB$116, NOT($A138-AB$129&gt;0)), 0, IF($A138-AB$129=AB$116, AB$126-SUM(AB$131:AB137), ROUND(PPMT(AB$115, $A138-AB$129, AB$116, -AB$126), -3)))</f>
        <v>0</v>
      </c>
      <c r="AC138" s="15">
        <f>IF(OR(AC$126=0, $A138-AC$129&gt;AC$116, NOT($A138-AC$129&gt;0)), 0, IF($A138-AC$129=AC$116, AC$126-SUM(AC$131:AC137), ROUND(PPMT(AC$115, $A138-AC$129, AC$116, -AC$126), -3)))</f>
        <v>0</v>
      </c>
      <c r="AD138" s="15">
        <f>IF(OR(AD$126=0, $A138-AD$129&gt;AD$116, NOT($A138-AD$129&gt;0)), 0, IF($A138-AD$129=AD$116, AD$126-SUM(AD$131:AD137), ROUND(PPMT(AD$115, $A138-AD$129, AD$116, -AD$126), -3)))</f>
        <v>0</v>
      </c>
      <c r="AE138" s="15">
        <f>IF(OR(AE$126=0, $A138-AE$129&gt;AE$116, NOT($A138-AE$129&gt;0)), 0, IF($A138-AE$129=AE$116, AE$126-SUM(AE$131:AE137), ROUND(PPMT(AE$115, $A138-AE$129, AE$116, -AE$126), -3)))</f>
        <v>0</v>
      </c>
      <c r="AF138" s="15">
        <f>IF(OR(AF$126=0, $A138-AF$129&gt;AF$116, NOT($A138-AF$129&gt;0)), 0, IF($A138-AF$129=AF$116, AF$126-SUM(AF$131:AF137), ROUND(PPMT(AF$115, $A138-AF$129, AF$116, -AF$126), -3)))</f>
        <v>0</v>
      </c>
      <c r="AG138" s="15">
        <f>IF(OR(AG$126=0, $A138-AG$129&gt;AG$116, NOT($A138-AG$129&gt;0)), 0, IF($A138-AG$129=AG$116, AG$126-SUM(AG$131:AG137), ROUND(PPMT(AG$115, $A138-AG$129, AG$116, -AG$126), -3)))</f>
        <v>0</v>
      </c>
      <c r="AH138" s="15">
        <f>IF(OR(AH$126=0, $A138-AH$129&gt;AH$116, NOT($A138-AH$129&gt;0)), 0, IF($A138-AH$129=AH$116, AH$126-SUM(AH$131:AH137), ROUND(PPMT(AH$115, $A138-AH$129, AH$116, -AH$126), -3)))</f>
        <v>0</v>
      </c>
      <c r="AI138" s="15">
        <f>IF(OR(AI$126=0, $A138-AI$129&gt;AI$116, NOT($A138-AI$129&gt;0)), 0, IF($A138-AI$129=AI$116, AI$126-SUM(AI$131:AI137), ROUND(PPMT(AI$115, $A138-AI$129, AI$116, -AI$126), -3)))</f>
        <v>0</v>
      </c>
      <c r="AJ138" s="15">
        <f>IF(OR(AJ$126=0, $A138-AJ$129&gt;AJ$116, NOT($A138-AJ$129&gt;0)), 0, IF($A138-AJ$129=AJ$116, AJ$126-SUM(AJ$131:AJ137), ROUND(PPMT(AJ$115, $A138-AJ$129, AJ$116, -AJ$126), -3)))</f>
        <v>0</v>
      </c>
      <c r="AK138" s="15">
        <f>IF(OR(AK$126=0, $A138-AK$129&gt;AK$116, NOT($A138-AK$129&gt;0)), 0, IF($A138-AK$129=AK$116, AK$126-SUM(AK$131:AK137), ROUND(PPMT(AK$115, $A138-AK$129, AK$116, -AK$126), -3)))</f>
        <v>0</v>
      </c>
      <c r="AL138" s="15">
        <f>IF(OR(AL$126=0, $A138-AL$129&gt;AL$116, NOT($A138-AL$129&gt;0)), 0, IF($A138-AL$129=AL$116, AL$126-SUM(AL$131:AL137), ROUND(PPMT(AL$115, $A138-AL$129, AL$116, -AL$126), -3)))</f>
        <v>0</v>
      </c>
      <c r="AM138" s="15">
        <f>IF(OR(AM$126=0, $A138-AM$129&gt;AM$116, NOT($A138-AM$129&gt;0)), 0, IF($A138-AM$129=AM$116, AM$126-SUM(AM$131:AM137), ROUND(PPMT(AM$115, $A138-AM$129, AM$116, -AM$126), -3)))</f>
        <v>0</v>
      </c>
    </row>
    <row r="139" spans="1:39" outlineLevel="1">
      <c r="A139" s="40">
        <f t="shared" si="105"/>
        <v>2032</v>
      </c>
      <c r="B139" s="46"/>
      <c r="C139" s="15">
        <f>IF(OR(C$126=0, $A139-C$129&gt;C$116, NOT($A139-C$129&gt;0)), 0, IF($A139-C$129=C$116, C$126-SUM(C$131:C138), ROUND(PPMT(C$115, $A139-C$129, C$116, -C$126), -3)))</f>
        <v>3338000</v>
      </c>
      <c r="D139" s="15">
        <f>IF(OR(D$126=0, $A139-D$129&gt;D$116, NOT($A139-D$129&gt;0)), 0, IF($A139-D$129=D$116, D$126-SUM(D$131:D138), ROUND(PPMT(D$115, $A139-D$129, D$116, -D$126), -3)))</f>
        <v>3164000</v>
      </c>
      <c r="E139" s="15">
        <f>IF(OR(E$126=0, $A139-E$129&gt;E$116, NOT($A139-E$129&gt;0)), 0, IF($A139-E$129=E$116, E$126-SUM(E$131:E138), ROUND(PPMT(E$115, $A139-E$129, E$116, -E$126), -3)))</f>
        <v>2999000</v>
      </c>
      <c r="F139" s="46">
        <f>IF(OR(F$126=0, $A139-F$129&gt;F$116, NOT($A139-F$129&gt;0)), 0, IF($A139-F$129=F$116, F$126-SUM(F$131:F138), ROUND(PPMT(F$115, $A139-F$129, F$116, -F$126), -3)))</f>
        <v>1944000</v>
      </c>
      <c r="G139" s="15">
        <f>IF(OR(G$126=0, $A139-G$129&gt;G$116, NOT($A139-G$129&gt;0)), 0, IF($A139-G$129=G$116, G$126-SUM(G$131:G138), ROUND(PPMT(G$115, $A139-G$129, G$116, -G$126), -3)))</f>
        <v>0</v>
      </c>
      <c r="H139" s="15">
        <f>IF(OR(H$126=0, $A139-H$129&gt;H$116, NOT($A139-H$129&gt;0)), 0, IF($A139-H$129=H$116, H$126-SUM(H$131:H138), ROUND(PPMT(H$115, $A139-H$129, H$116, -H$126), -3)))</f>
        <v>0</v>
      </c>
      <c r="I139" s="15">
        <f>IF(OR(I$126=0, $A139-I$129&gt;I$116, NOT($A139-I$129&gt;0)), 0, IF($A139-I$129=I$116, I$126-SUM(I$131:I138), ROUND(PPMT(I$115, $A139-I$129, I$116, -I$126), -3)))</f>
        <v>1986000</v>
      </c>
      <c r="J139" s="15">
        <f>IF(OR(J$126=0, $A139-J$129&gt;J$116, NOT($A139-J$129&gt;0)), 0, IF($A139-J$129=J$116, J$126-SUM(J$131:J138), ROUND(PPMT(J$115, $A139-J$129, J$116, -J$126), -3)))</f>
        <v>0</v>
      </c>
      <c r="K139" s="15">
        <f>IF(OR(K$126=0, $A139-K$129&gt;K$116, NOT($A139-K$129&gt;0)), 0, IF($A139-K$129=K$116, K$126-SUM(K$131:K138), ROUND(PPMT(K$115, $A139-K$129, K$116, -K$126), -3)))</f>
        <v>0</v>
      </c>
      <c r="L139" s="15">
        <f>IF(OR(L$126=0, $A139-L$129&gt;L$116, NOT($A139-L$129&gt;0)), 0, IF($A139-L$129=L$116, L$126-SUM(L$131:L138), ROUND(PPMT(L$115, $A139-L$129, L$116, -L$126), -3)))</f>
        <v>0</v>
      </c>
      <c r="M139" s="15">
        <f>IF(OR(M$126=0, $A139-M$129&gt;M$116, NOT($A139-M$129&gt;0)), 0, IF($A139-M$129=M$116, M$126-SUM(M$131:M138), ROUND(PPMT(M$115, $A139-M$129, M$116, -M$126), -3)))</f>
        <v>0</v>
      </c>
      <c r="N139" s="15">
        <f>IF(OR(N$126=0, $A139-N$129&gt;N$116, NOT($A139-N$129&gt;0)), 0, IF($A139-N$129=N$116, N$126-SUM(N$131:N138), ROUND(PPMT(N$115, $A139-N$129, N$116, -N$126), -3)))</f>
        <v>0</v>
      </c>
      <c r="O139" s="15">
        <f>IF(OR(O$126=0, $A139-O$129&gt;O$116, NOT($A139-O$129&gt;0)), 0, IF($A139-O$129=O$116, O$126-SUM(O$131:O138), ROUND(PPMT(O$115, $A139-O$129, O$116, -O$126), -3)))</f>
        <v>0</v>
      </c>
      <c r="P139" s="15">
        <f>IF(OR(P$126=0, $A139-P$129&gt;P$116, NOT($A139-P$129&gt;0)), 0, IF($A139-P$129=P$116, P$126-SUM(P$131:P138), ROUND(PPMT(P$115, $A139-P$129, P$116, -P$126), -3)))</f>
        <v>0</v>
      </c>
      <c r="Q139" s="15">
        <f>IF(OR(Q$126=0, $A139-Q$129&gt;Q$116, NOT($A139-Q$129&gt;0)), 0, IF($A139-Q$129=Q$116, Q$126-SUM(Q$131:Q138), ROUND(PPMT(Q$115, $A139-Q$129, Q$116, -Q$126), -3)))</f>
        <v>0</v>
      </c>
      <c r="R139" s="15">
        <f>IF(OR(R$126=0, $A139-R$129&gt;R$116, NOT($A139-R$129&gt;0)), 0, IF($A139-R$129=R$116, R$126-SUM(R$131:R138), ROUND(PPMT(R$115, $A139-R$129, R$116, -R$126), -3)))</f>
        <v>0</v>
      </c>
      <c r="S139" s="15">
        <f>IF(OR(S$126=0, $A139-S$129&gt;S$116, NOT($A139-S$129&gt;0)), 0, IF($A139-S$129=S$116, S$126-SUM(S$131:S138), ROUND(PPMT(S$115, $A139-S$129, S$116, -S$126), -3)))</f>
        <v>0</v>
      </c>
      <c r="T139" s="15">
        <f>IF(OR(T$126=0, $A139-T$129&gt;T$116, NOT($A139-T$129&gt;0)), 0, IF($A139-T$129=T$116, T$126-SUM(T$131:T138), ROUND(PPMT(T$115, $A139-T$129, T$116, -T$126), -3)))</f>
        <v>0</v>
      </c>
      <c r="U139" s="15">
        <f>IF(OR(U$126=0, $A139-U$129&gt;U$116, NOT($A139-U$129&gt;0)), 0, IF($A139-U$129=U$116, U$126-SUM(U$131:U138), ROUND(PPMT(U$115, $A139-U$129, U$116, -U$126), -3)))</f>
        <v>0</v>
      </c>
      <c r="V139" s="15">
        <f>IF(OR(V$126=0, $A139-V$129&gt;V$116, NOT($A139-V$129&gt;0)), 0, IF($A139-V$129=V$116, V$126-SUM(V$131:V138), ROUND(PPMT(V$115, $A139-V$129, V$116, -V$126), -3)))</f>
        <v>0</v>
      </c>
      <c r="W139" s="15">
        <f>IF(OR(W$126=0, $A139-W$129&gt;W$116, NOT($A139-W$129&gt;0)), 0, IF($A139-W$129=W$116, W$126-SUM(W$131:W138), ROUND(PPMT(W$115, $A139-W$129, W$116, -W$126), -3)))</f>
        <v>0</v>
      </c>
      <c r="X139" s="15">
        <f>IF(OR(X$126=0, $A139-X$129&gt;X$116, NOT($A139-X$129&gt;0)), 0, IF($A139-X$129=X$116, X$126-SUM(X$131:X138), ROUND(PPMT(X$115, $A139-X$129, X$116, -X$126), -3)))</f>
        <v>0</v>
      </c>
      <c r="Y139" s="15">
        <f>IF(OR(Y$126=0, $A139-Y$129&gt;Y$116, NOT($A139-Y$129&gt;0)), 0, IF($A139-Y$129=Y$116, Y$126-SUM(Y$131:Y138), ROUND(PPMT(Y$115, $A139-Y$129, Y$116, -Y$126), -3)))</f>
        <v>0</v>
      </c>
      <c r="Z139" s="15">
        <f>IF(OR(Z$126=0, $A139-Z$129&gt;Z$116, NOT($A139-Z$129&gt;0)), 0, IF($A139-Z$129=Z$116, Z$126-SUM(Z$131:Z138), ROUND(PPMT(Z$115, $A139-Z$129, Z$116, -Z$126), -3)))</f>
        <v>0</v>
      </c>
      <c r="AA139" s="15">
        <f>IF(OR(AA$126=0, $A139-AA$129&gt;AA$116, NOT($A139-AA$129&gt;0)), 0, IF($A139-AA$129=AA$116, AA$126-SUM(AA$131:AA138), ROUND(PPMT(AA$115, $A139-AA$129, AA$116, -AA$126), -3)))</f>
        <v>0</v>
      </c>
      <c r="AB139" s="15">
        <f>IF(OR(AB$126=0, $A139-AB$129&gt;AB$116, NOT($A139-AB$129&gt;0)), 0, IF($A139-AB$129=AB$116, AB$126-SUM(AB$131:AB138), ROUND(PPMT(AB$115, $A139-AB$129, AB$116, -AB$126), -3)))</f>
        <v>0</v>
      </c>
      <c r="AC139" s="15">
        <f>IF(OR(AC$126=0, $A139-AC$129&gt;AC$116, NOT($A139-AC$129&gt;0)), 0, IF($A139-AC$129=AC$116, AC$126-SUM(AC$131:AC138), ROUND(PPMT(AC$115, $A139-AC$129, AC$116, -AC$126), -3)))</f>
        <v>0</v>
      </c>
      <c r="AD139" s="15">
        <f>IF(OR(AD$126=0, $A139-AD$129&gt;AD$116, NOT($A139-AD$129&gt;0)), 0, IF($A139-AD$129=AD$116, AD$126-SUM(AD$131:AD138), ROUND(PPMT(AD$115, $A139-AD$129, AD$116, -AD$126), -3)))</f>
        <v>0</v>
      </c>
      <c r="AE139" s="15">
        <f>IF(OR(AE$126=0, $A139-AE$129&gt;AE$116, NOT($A139-AE$129&gt;0)), 0, IF($A139-AE$129=AE$116, AE$126-SUM(AE$131:AE138), ROUND(PPMT(AE$115, $A139-AE$129, AE$116, -AE$126), -3)))</f>
        <v>0</v>
      </c>
      <c r="AF139" s="15">
        <f>IF(OR(AF$126=0, $A139-AF$129&gt;AF$116, NOT($A139-AF$129&gt;0)), 0, IF($A139-AF$129=AF$116, AF$126-SUM(AF$131:AF138), ROUND(PPMT(AF$115, $A139-AF$129, AF$116, -AF$126), -3)))</f>
        <v>0</v>
      </c>
      <c r="AG139" s="15">
        <f>IF(OR(AG$126=0, $A139-AG$129&gt;AG$116, NOT($A139-AG$129&gt;0)), 0, IF($A139-AG$129=AG$116, AG$126-SUM(AG$131:AG138), ROUND(PPMT(AG$115, $A139-AG$129, AG$116, -AG$126), -3)))</f>
        <v>0</v>
      </c>
      <c r="AH139" s="15">
        <f>IF(OR(AH$126=0, $A139-AH$129&gt;AH$116, NOT($A139-AH$129&gt;0)), 0, IF($A139-AH$129=AH$116, AH$126-SUM(AH$131:AH138), ROUND(PPMT(AH$115, $A139-AH$129, AH$116, -AH$126), -3)))</f>
        <v>0</v>
      </c>
      <c r="AI139" s="15">
        <f>IF(OR(AI$126=0, $A139-AI$129&gt;AI$116, NOT($A139-AI$129&gt;0)), 0, IF($A139-AI$129=AI$116, AI$126-SUM(AI$131:AI138), ROUND(PPMT(AI$115, $A139-AI$129, AI$116, -AI$126), -3)))</f>
        <v>0</v>
      </c>
      <c r="AJ139" s="15">
        <f>IF(OR(AJ$126=0, $A139-AJ$129&gt;AJ$116, NOT($A139-AJ$129&gt;0)), 0, IF($A139-AJ$129=AJ$116, AJ$126-SUM(AJ$131:AJ138), ROUND(PPMT(AJ$115, $A139-AJ$129, AJ$116, -AJ$126), -3)))</f>
        <v>0</v>
      </c>
      <c r="AK139" s="15">
        <f>IF(OR(AK$126=0, $A139-AK$129&gt;AK$116, NOT($A139-AK$129&gt;0)), 0, IF($A139-AK$129=AK$116, AK$126-SUM(AK$131:AK138), ROUND(PPMT(AK$115, $A139-AK$129, AK$116, -AK$126), -3)))</f>
        <v>0</v>
      </c>
      <c r="AL139" s="15">
        <f>IF(OR(AL$126=0, $A139-AL$129&gt;AL$116, NOT($A139-AL$129&gt;0)), 0, IF($A139-AL$129=AL$116, AL$126-SUM(AL$131:AL138), ROUND(PPMT(AL$115, $A139-AL$129, AL$116, -AL$126), -3)))</f>
        <v>0</v>
      </c>
      <c r="AM139" s="15">
        <f>IF(OR(AM$126=0, $A139-AM$129&gt;AM$116, NOT($A139-AM$129&gt;0)), 0, IF($A139-AM$129=AM$116, AM$126-SUM(AM$131:AM138), ROUND(PPMT(AM$115, $A139-AM$129, AM$116, -AM$126), -3)))</f>
        <v>0</v>
      </c>
    </row>
    <row r="140" spans="1:39" outlineLevel="1">
      <c r="A140" s="40">
        <f t="shared" si="105"/>
        <v>2033</v>
      </c>
      <c r="B140" s="46"/>
      <c r="C140" s="15">
        <f>IF(OR(C$126=0, $A140-C$129&gt;C$116, NOT($A140-C$129&gt;0)), 0, IF($A140-C$129=C$116, C$126-SUM(C$131:C139), ROUND(PPMT(C$115, $A140-C$129, C$116, -C$126), -3)))</f>
        <v>3521000</v>
      </c>
      <c r="D140" s="15">
        <f>IF(OR(D$126=0, $A140-D$129&gt;D$116, NOT($A140-D$129&gt;0)), 0, IF($A140-D$129=D$116, D$126-SUM(D$131:D139), ROUND(PPMT(D$115, $A140-D$129, D$116, -D$126), -3)))</f>
        <v>3338000</v>
      </c>
      <c r="E140" s="15">
        <f>IF(OR(E$126=0, $A140-E$129&gt;E$116, NOT($A140-E$129&gt;0)), 0, IF($A140-E$129=E$116, E$126-SUM(E$131:E139), ROUND(PPMT(E$115, $A140-E$129, E$116, -E$126), -3)))</f>
        <v>3164000</v>
      </c>
      <c r="F140" s="46">
        <f>IF(OR(F$126=0, $A140-F$129&gt;F$116, NOT($A140-F$129&gt;0)), 0, IF($A140-F$129=F$116, F$126-SUM(F$131:F139), ROUND(PPMT(F$115, $A140-F$129, F$116, -F$126), -3)))</f>
        <v>2051000</v>
      </c>
      <c r="G140" s="15">
        <f>IF(OR(G$126=0, $A140-G$129&gt;G$116, NOT($A140-G$129&gt;0)), 0, IF($A140-G$129=G$116, G$126-SUM(G$131:G139), ROUND(PPMT(G$115, $A140-G$129, G$116, -G$126), -3)))</f>
        <v>0</v>
      </c>
      <c r="H140" s="15">
        <f>IF(OR(H$126=0, $A140-H$129&gt;H$116, NOT($A140-H$129&gt;0)), 0, IF($A140-H$129=H$116, H$126-SUM(H$131:H139), ROUND(PPMT(H$115, $A140-H$129, H$116, -H$126), -3)))</f>
        <v>0</v>
      </c>
      <c r="I140" s="15">
        <f>IF(OR(I$126=0, $A140-I$129&gt;I$116, NOT($A140-I$129&gt;0)), 0, IF($A140-I$129=I$116, I$126-SUM(I$131:I139), ROUND(PPMT(I$115, $A140-I$129, I$116, -I$126), -3)))</f>
        <v>2095000</v>
      </c>
      <c r="J140" s="15">
        <f>IF(OR(J$126=0, $A140-J$129&gt;J$116, NOT($A140-J$129&gt;0)), 0, IF($A140-J$129=J$116, J$126-SUM(J$131:J139), ROUND(PPMT(J$115, $A140-J$129, J$116, -J$126), -3)))</f>
        <v>0</v>
      </c>
      <c r="K140" s="15">
        <f>IF(OR(K$126=0, $A140-K$129&gt;K$116, NOT($A140-K$129&gt;0)), 0, IF($A140-K$129=K$116, K$126-SUM(K$131:K139), ROUND(PPMT(K$115, $A140-K$129, K$116, -K$126), -3)))</f>
        <v>0</v>
      </c>
      <c r="L140" s="15">
        <f>IF(OR(L$126=0, $A140-L$129&gt;L$116, NOT($A140-L$129&gt;0)), 0, IF($A140-L$129=L$116, L$126-SUM(L$131:L139), ROUND(PPMT(L$115, $A140-L$129, L$116, -L$126), -3)))</f>
        <v>0</v>
      </c>
      <c r="M140" s="15">
        <f>IF(OR(M$126=0, $A140-M$129&gt;M$116, NOT($A140-M$129&gt;0)), 0, IF($A140-M$129=M$116, M$126-SUM(M$131:M139), ROUND(PPMT(M$115, $A140-M$129, M$116, -M$126), -3)))</f>
        <v>0</v>
      </c>
      <c r="N140" s="15">
        <f>IF(OR(N$126=0, $A140-N$129&gt;N$116, NOT($A140-N$129&gt;0)), 0, IF($A140-N$129=N$116, N$126-SUM(N$131:N139), ROUND(PPMT(N$115, $A140-N$129, N$116, -N$126), -3)))</f>
        <v>0</v>
      </c>
      <c r="O140" s="15">
        <f>IF(OR(O$126=0, $A140-O$129&gt;O$116, NOT($A140-O$129&gt;0)), 0, IF($A140-O$129=O$116, O$126-SUM(O$131:O139), ROUND(PPMT(O$115, $A140-O$129, O$116, -O$126), -3)))</f>
        <v>0</v>
      </c>
      <c r="P140" s="15">
        <f>IF(OR(P$126=0, $A140-P$129&gt;P$116, NOT($A140-P$129&gt;0)), 0, IF($A140-P$129=P$116, P$126-SUM(P$131:P139), ROUND(PPMT(P$115, $A140-P$129, P$116, -P$126), -3)))</f>
        <v>0</v>
      </c>
      <c r="Q140" s="15">
        <f>IF(OR(Q$126=0, $A140-Q$129&gt;Q$116, NOT($A140-Q$129&gt;0)), 0, IF($A140-Q$129=Q$116, Q$126-SUM(Q$131:Q139), ROUND(PPMT(Q$115, $A140-Q$129, Q$116, -Q$126), -3)))</f>
        <v>0</v>
      </c>
      <c r="R140" s="15">
        <f>IF(OR(R$126=0, $A140-R$129&gt;R$116, NOT($A140-R$129&gt;0)), 0, IF($A140-R$129=R$116, R$126-SUM(R$131:R139), ROUND(PPMT(R$115, $A140-R$129, R$116, -R$126), -3)))</f>
        <v>0</v>
      </c>
      <c r="S140" s="15">
        <f>IF(OR(S$126=0, $A140-S$129&gt;S$116, NOT($A140-S$129&gt;0)), 0, IF($A140-S$129=S$116, S$126-SUM(S$131:S139), ROUND(PPMT(S$115, $A140-S$129, S$116, -S$126), -3)))</f>
        <v>0</v>
      </c>
      <c r="T140" s="15">
        <f>IF(OR(T$126=0, $A140-T$129&gt;T$116, NOT($A140-T$129&gt;0)), 0, IF($A140-T$129=T$116, T$126-SUM(T$131:T139), ROUND(PPMT(T$115, $A140-T$129, T$116, -T$126), -3)))</f>
        <v>0</v>
      </c>
      <c r="U140" s="15">
        <f>IF(OR(U$126=0, $A140-U$129&gt;U$116, NOT($A140-U$129&gt;0)), 0, IF($A140-U$129=U$116, U$126-SUM(U$131:U139), ROUND(PPMT(U$115, $A140-U$129, U$116, -U$126), -3)))</f>
        <v>0</v>
      </c>
      <c r="V140" s="15">
        <f>IF(OR(V$126=0, $A140-V$129&gt;V$116, NOT($A140-V$129&gt;0)), 0, IF($A140-V$129=V$116, V$126-SUM(V$131:V139), ROUND(PPMT(V$115, $A140-V$129, V$116, -V$126), -3)))</f>
        <v>0</v>
      </c>
      <c r="W140" s="15">
        <f>IF(OR(W$126=0, $A140-W$129&gt;W$116, NOT($A140-W$129&gt;0)), 0, IF($A140-W$129=W$116, W$126-SUM(W$131:W139), ROUND(PPMT(W$115, $A140-W$129, W$116, -W$126), -3)))</f>
        <v>0</v>
      </c>
      <c r="X140" s="15">
        <f>IF(OR(X$126=0, $A140-X$129&gt;X$116, NOT($A140-X$129&gt;0)), 0, IF($A140-X$129=X$116, X$126-SUM(X$131:X139), ROUND(PPMT(X$115, $A140-X$129, X$116, -X$126), -3)))</f>
        <v>0</v>
      </c>
      <c r="Y140" s="15">
        <f>IF(OR(Y$126=0, $A140-Y$129&gt;Y$116, NOT($A140-Y$129&gt;0)), 0, IF($A140-Y$129=Y$116, Y$126-SUM(Y$131:Y139), ROUND(PPMT(Y$115, $A140-Y$129, Y$116, -Y$126), -3)))</f>
        <v>0</v>
      </c>
      <c r="Z140" s="15">
        <f>IF(OR(Z$126=0, $A140-Z$129&gt;Z$116, NOT($A140-Z$129&gt;0)), 0, IF($A140-Z$129=Z$116, Z$126-SUM(Z$131:Z139), ROUND(PPMT(Z$115, $A140-Z$129, Z$116, -Z$126), -3)))</f>
        <v>0</v>
      </c>
      <c r="AA140" s="15">
        <f>IF(OR(AA$126=0, $A140-AA$129&gt;AA$116, NOT($A140-AA$129&gt;0)), 0, IF($A140-AA$129=AA$116, AA$126-SUM(AA$131:AA139), ROUND(PPMT(AA$115, $A140-AA$129, AA$116, -AA$126), -3)))</f>
        <v>0</v>
      </c>
      <c r="AB140" s="15">
        <f>IF(OR(AB$126=0, $A140-AB$129&gt;AB$116, NOT($A140-AB$129&gt;0)), 0, IF($A140-AB$129=AB$116, AB$126-SUM(AB$131:AB139), ROUND(PPMT(AB$115, $A140-AB$129, AB$116, -AB$126), -3)))</f>
        <v>0</v>
      </c>
      <c r="AC140" s="15">
        <f>IF(OR(AC$126=0, $A140-AC$129&gt;AC$116, NOT($A140-AC$129&gt;0)), 0, IF($A140-AC$129=AC$116, AC$126-SUM(AC$131:AC139), ROUND(PPMT(AC$115, $A140-AC$129, AC$116, -AC$126), -3)))</f>
        <v>0</v>
      </c>
      <c r="AD140" s="15">
        <f>IF(OR(AD$126=0, $A140-AD$129&gt;AD$116, NOT($A140-AD$129&gt;0)), 0, IF($A140-AD$129=AD$116, AD$126-SUM(AD$131:AD139), ROUND(PPMT(AD$115, $A140-AD$129, AD$116, -AD$126), -3)))</f>
        <v>0</v>
      </c>
      <c r="AE140" s="15">
        <f>IF(OR(AE$126=0, $A140-AE$129&gt;AE$116, NOT($A140-AE$129&gt;0)), 0, IF($A140-AE$129=AE$116, AE$126-SUM(AE$131:AE139), ROUND(PPMT(AE$115, $A140-AE$129, AE$116, -AE$126), -3)))</f>
        <v>0</v>
      </c>
      <c r="AF140" s="15">
        <f>IF(OR(AF$126=0, $A140-AF$129&gt;AF$116, NOT($A140-AF$129&gt;0)), 0, IF($A140-AF$129=AF$116, AF$126-SUM(AF$131:AF139), ROUND(PPMT(AF$115, $A140-AF$129, AF$116, -AF$126), -3)))</f>
        <v>0</v>
      </c>
      <c r="AG140" s="15">
        <f>IF(OR(AG$126=0, $A140-AG$129&gt;AG$116, NOT($A140-AG$129&gt;0)), 0, IF($A140-AG$129=AG$116, AG$126-SUM(AG$131:AG139), ROUND(PPMT(AG$115, $A140-AG$129, AG$116, -AG$126), -3)))</f>
        <v>0</v>
      </c>
      <c r="AH140" s="15">
        <f>IF(OR(AH$126=0, $A140-AH$129&gt;AH$116, NOT($A140-AH$129&gt;0)), 0, IF($A140-AH$129=AH$116, AH$126-SUM(AH$131:AH139), ROUND(PPMT(AH$115, $A140-AH$129, AH$116, -AH$126), -3)))</f>
        <v>0</v>
      </c>
      <c r="AI140" s="15">
        <f>IF(OR(AI$126=0, $A140-AI$129&gt;AI$116, NOT($A140-AI$129&gt;0)), 0, IF($A140-AI$129=AI$116, AI$126-SUM(AI$131:AI139), ROUND(PPMT(AI$115, $A140-AI$129, AI$116, -AI$126), -3)))</f>
        <v>0</v>
      </c>
      <c r="AJ140" s="15">
        <f>IF(OR(AJ$126=0, $A140-AJ$129&gt;AJ$116, NOT($A140-AJ$129&gt;0)), 0, IF($A140-AJ$129=AJ$116, AJ$126-SUM(AJ$131:AJ139), ROUND(PPMT(AJ$115, $A140-AJ$129, AJ$116, -AJ$126), -3)))</f>
        <v>0</v>
      </c>
      <c r="AK140" s="15">
        <f>IF(OR(AK$126=0, $A140-AK$129&gt;AK$116, NOT($A140-AK$129&gt;0)), 0, IF($A140-AK$129=AK$116, AK$126-SUM(AK$131:AK139), ROUND(PPMT(AK$115, $A140-AK$129, AK$116, -AK$126), -3)))</f>
        <v>0</v>
      </c>
      <c r="AL140" s="15">
        <f>IF(OR(AL$126=0, $A140-AL$129&gt;AL$116, NOT($A140-AL$129&gt;0)), 0, IF($A140-AL$129=AL$116, AL$126-SUM(AL$131:AL139), ROUND(PPMT(AL$115, $A140-AL$129, AL$116, -AL$126), -3)))</f>
        <v>0</v>
      </c>
      <c r="AM140" s="15">
        <f>IF(OR(AM$126=0, $A140-AM$129&gt;AM$116, NOT($A140-AM$129&gt;0)), 0, IF($A140-AM$129=AM$116, AM$126-SUM(AM$131:AM139), ROUND(PPMT(AM$115, $A140-AM$129, AM$116, -AM$126), -3)))</f>
        <v>0</v>
      </c>
    </row>
    <row r="141" spans="1:39" outlineLevel="1">
      <c r="A141" s="40">
        <f t="shared" si="105"/>
        <v>2034</v>
      </c>
      <c r="B141" s="46"/>
      <c r="C141" s="15">
        <f>IF(OR(C$126=0, $A141-C$129&gt;C$116, NOT($A141-C$129&gt;0)), 0, IF($A141-C$129=C$116, C$126-SUM(C$131:C140), ROUND(PPMT(C$115, $A141-C$129, C$116, -C$126), -3)))</f>
        <v>3715000</v>
      </c>
      <c r="D141" s="15">
        <f>IF(OR(D$126=0, $A141-D$129&gt;D$116, NOT($A141-D$129&gt;0)), 0, IF($A141-D$129=D$116, D$126-SUM(D$131:D140), ROUND(PPMT(D$115, $A141-D$129, D$116, -D$126), -3)))</f>
        <v>3521000</v>
      </c>
      <c r="E141" s="15">
        <f>IF(OR(E$126=0, $A141-E$129&gt;E$116, NOT($A141-E$129&gt;0)), 0, IF($A141-E$129=E$116, E$126-SUM(E$131:E140), ROUND(PPMT(E$115, $A141-E$129, E$116, -E$126), -3)))</f>
        <v>3338000</v>
      </c>
      <c r="F141" s="46">
        <f>IF(OR(F$126=0, $A141-F$129&gt;F$116, NOT($A141-F$129&gt;0)), 0, IF($A141-F$129=F$116, F$126-SUM(F$131:F140), ROUND(PPMT(F$115, $A141-F$129, F$116, -F$126), -3)))</f>
        <v>2163000</v>
      </c>
      <c r="G141" s="15">
        <f>IF(OR(G$126=0, $A141-G$129&gt;G$116, NOT($A141-G$129&gt;0)), 0, IF($A141-G$129=G$116, G$126-SUM(G$131:G140), ROUND(PPMT(G$115, $A141-G$129, G$116, -G$126), -3)))</f>
        <v>0</v>
      </c>
      <c r="H141" s="15">
        <f>IF(OR(H$126=0, $A141-H$129&gt;H$116, NOT($A141-H$129&gt;0)), 0, IF($A141-H$129=H$116, H$126-SUM(H$131:H140), ROUND(PPMT(H$115, $A141-H$129, H$116, -H$126), -3)))</f>
        <v>0</v>
      </c>
      <c r="I141" s="15">
        <f>IF(OR(I$126=0, $A141-I$129&gt;I$116, NOT($A141-I$129&gt;0)), 0, IF($A141-I$129=I$116, I$126-SUM(I$131:I140), ROUND(PPMT(I$115, $A141-I$129, I$116, -I$126), -3)))</f>
        <v>2211000</v>
      </c>
      <c r="J141" s="15">
        <f>IF(OR(J$126=0, $A141-J$129&gt;J$116, NOT($A141-J$129&gt;0)), 0, IF($A141-J$129=J$116, J$126-SUM(J$131:J140), ROUND(PPMT(J$115, $A141-J$129, J$116, -J$126), -3)))</f>
        <v>0</v>
      </c>
      <c r="K141" s="15">
        <f>IF(OR(K$126=0, $A141-K$129&gt;K$116, NOT($A141-K$129&gt;0)), 0, IF($A141-K$129=K$116, K$126-SUM(K$131:K140), ROUND(PPMT(K$115, $A141-K$129, K$116, -K$126), -3)))</f>
        <v>0</v>
      </c>
      <c r="L141" s="15">
        <f>IF(OR(L$126=0, $A141-L$129&gt;L$116, NOT($A141-L$129&gt;0)), 0, IF($A141-L$129=L$116, L$126-SUM(L$131:L140), ROUND(PPMT(L$115, $A141-L$129, L$116, -L$126), -3)))</f>
        <v>0</v>
      </c>
      <c r="M141" s="15">
        <f>IF(OR(M$126=0, $A141-M$129&gt;M$116, NOT($A141-M$129&gt;0)), 0, IF($A141-M$129=M$116, M$126-SUM(M$131:M140), ROUND(PPMT(M$115, $A141-M$129, M$116, -M$126), -3)))</f>
        <v>0</v>
      </c>
      <c r="N141" s="15">
        <f>IF(OR(N$126=0, $A141-N$129&gt;N$116, NOT($A141-N$129&gt;0)), 0, IF($A141-N$129=N$116, N$126-SUM(N$131:N140), ROUND(PPMT(N$115, $A141-N$129, N$116, -N$126), -3)))</f>
        <v>0</v>
      </c>
      <c r="O141" s="15">
        <f>IF(OR(O$126=0, $A141-O$129&gt;O$116, NOT($A141-O$129&gt;0)), 0, IF($A141-O$129=O$116, O$126-SUM(O$131:O140), ROUND(PPMT(O$115, $A141-O$129, O$116, -O$126), -3)))</f>
        <v>0</v>
      </c>
      <c r="P141" s="15">
        <f>IF(OR(P$126=0, $A141-P$129&gt;P$116, NOT($A141-P$129&gt;0)), 0, IF($A141-P$129=P$116, P$126-SUM(P$131:P140), ROUND(PPMT(P$115, $A141-P$129, P$116, -P$126), -3)))</f>
        <v>0</v>
      </c>
      <c r="Q141" s="15">
        <f>IF(OR(Q$126=0, $A141-Q$129&gt;Q$116, NOT($A141-Q$129&gt;0)), 0, IF($A141-Q$129=Q$116, Q$126-SUM(Q$131:Q140), ROUND(PPMT(Q$115, $A141-Q$129, Q$116, -Q$126), -3)))</f>
        <v>0</v>
      </c>
      <c r="R141" s="15">
        <f>IF(OR(R$126=0, $A141-R$129&gt;R$116, NOT($A141-R$129&gt;0)), 0, IF($A141-R$129=R$116, R$126-SUM(R$131:R140), ROUND(PPMT(R$115, $A141-R$129, R$116, -R$126), -3)))</f>
        <v>0</v>
      </c>
      <c r="S141" s="15">
        <f>IF(OR(S$126=0, $A141-S$129&gt;S$116, NOT($A141-S$129&gt;0)), 0, IF($A141-S$129=S$116, S$126-SUM(S$131:S140), ROUND(PPMT(S$115, $A141-S$129, S$116, -S$126), -3)))</f>
        <v>0</v>
      </c>
      <c r="T141" s="15">
        <f>IF(OR(T$126=0, $A141-T$129&gt;T$116, NOT($A141-T$129&gt;0)), 0, IF($A141-T$129=T$116, T$126-SUM(T$131:T140), ROUND(PPMT(T$115, $A141-T$129, T$116, -T$126), -3)))</f>
        <v>0</v>
      </c>
      <c r="U141" s="15">
        <f>IF(OR(U$126=0, $A141-U$129&gt;U$116, NOT($A141-U$129&gt;0)), 0, IF($A141-U$129=U$116, U$126-SUM(U$131:U140), ROUND(PPMT(U$115, $A141-U$129, U$116, -U$126), -3)))</f>
        <v>0</v>
      </c>
      <c r="V141" s="15">
        <f>IF(OR(V$126=0, $A141-V$129&gt;V$116, NOT($A141-V$129&gt;0)), 0, IF($A141-V$129=V$116, V$126-SUM(V$131:V140), ROUND(PPMT(V$115, $A141-V$129, V$116, -V$126), -3)))</f>
        <v>0</v>
      </c>
      <c r="W141" s="15">
        <f>IF(OR(W$126=0, $A141-W$129&gt;W$116, NOT($A141-W$129&gt;0)), 0, IF($A141-W$129=W$116, W$126-SUM(W$131:W140), ROUND(PPMT(W$115, $A141-W$129, W$116, -W$126), -3)))</f>
        <v>0</v>
      </c>
      <c r="X141" s="15">
        <f>IF(OR(X$126=0, $A141-X$129&gt;X$116, NOT($A141-X$129&gt;0)), 0, IF($A141-X$129=X$116, X$126-SUM(X$131:X140), ROUND(PPMT(X$115, $A141-X$129, X$116, -X$126), -3)))</f>
        <v>0</v>
      </c>
      <c r="Y141" s="15">
        <f>IF(OR(Y$126=0, $A141-Y$129&gt;Y$116, NOT($A141-Y$129&gt;0)), 0, IF($A141-Y$129=Y$116, Y$126-SUM(Y$131:Y140), ROUND(PPMT(Y$115, $A141-Y$129, Y$116, -Y$126), -3)))</f>
        <v>0</v>
      </c>
      <c r="Z141" s="15">
        <f>IF(OR(Z$126=0, $A141-Z$129&gt;Z$116, NOT($A141-Z$129&gt;0)), 0, IF($A141-Z$129=Z$116, Z$126-SUM(Z$131:Z140), ROUND(PPMT(Z$115, $A141-Z$129, Z$116, -Z$126), -3)))</f>
        <v>0</v>
      </c>
      <c r="AA141" s="15">
        <f>IF(OR(AA$126=0, $A141-AA$129&gt;AA$116, NOT($A141-AA$129&gt;0)), 0, IF($A141-AA$129=AA$116, AA$126-SUM(AA$131:AA140), ROUND(PPMT(AA$115, $A141-AA$129, AA$116, -AA$126), -3)))</f>
        <v>0</v>
      </c>
      <c r="AB141" s="15">
        <f>IF(OR(AB$126=0, $A141-AB$129&gt;AB$116, NOT($A141-AB$129&gt;0)), 0, IF($A141-AB$129=AB$116, AB$126-SUM(AB$131:AB140), ROUND(PPMT(AB$115, $A141-AB$129, AB$116, -AB$126), -3)))</f>
        <v>0</v>
      </c>
      <c r="AC141" s="15">
        <f>IF(OR(AC$126=0, $A141-AC$129&gt;AC$116, NOT($A141-AC$129&gt;0)), 0, IF($A141-AC$129=AC$116, AC$126-SUM(AC$131:AC140), ROUND(PPMT(AC$115, $A141-AC$129, AC$116, -AC$126), -3)))</f>
        <v>0</v>
      </c>
      <c r="AD141" s="15">
        <f>IF(OR(AD$126=0, $A141-AD$129&gt;AD$116, NOT($A141-AD$129&gt;0)), 0, IF($A141-AD$129=AD$116, AD$126-SUM(AD$131:AD140), ROUND(PPMT(AD$115, $A141-AD$129, AD$116, -AD$126), -3)))</f>
        <v>0</v>
      </c>
      <c r="AE141" s="15">
        <f>IF(OR(AE$126=0, $A141-AE$129&gt;AE$116, NOT($A141-AE$129&gt;0)), 0, IF($A141-AE$129=AE$116, AE$126-SUM(AE$131:AE140), ROUND(PPMT(AE$115, $A141-AE$129, AE$116, -AE$126), -3)))</f>
        <v>0</v>
      </c>
      <c r="AF141" s="15">
        <f>IF(OR(AF$126=0, $A141-AF$129&gt;AF$116, NOT($A141-AF$129&gt;0)), 0, IF($A141-AF$129=AF$116, AF$126-SUM(AF$131:AF140), ROUND(PPMT(AF$115, $A141-AF$129, AF$116, -AF$126), -3)))</f>
        <v>0</v>
      </c>
      <c r="AG141" s="15">
        <f>IF(OR(AG$126=0, $A141-AG$129&gt;AG$116, NOT($A141-AG$129&gt;0)), 0, IF($A141-AG$129=AG$116, AG$126-SUM(AG$131:AG140), ROUND(PPMT(AG$115, $A141-AG$129, AG$116, -AG$126), -3)))</f>
        <v>0</v>
      </c>
      <c r="AH141" s="15">
        <f>IF(OR(AH$126=0, $A141-AH$129&gt;AH$116, NOT($A141-AH$129&gt;0)), 0, IF($A141-AH$129=AH$116, AH$126-SUM(AH$131:AH140), ROUND(PPMT(AH$115, $A141-AH$129, AH$116, -AH$126), -3)))</f>
        <v>0</v>
      </c>
      <c r="AI141" s="15">
        <f>IF(OR(AI$126=0, $A141-AI$129&gt;AI$116, NOT($A141-AI$129&gt;0)), 0, IF($A141-AI$129=AI$116, AI$126-SUM(AI$131:AI140), ROUND(PPMT(AI$115, $A141-AI$129, AI$116, -AI$126), -3)))</f>
        <v>0</v>
      </c>
      <c r="AJ141" s="15">
        <f>IF(OR(AJ$126=0, $A141-AJ$129&gt;AJ$116, NOT($A141-AJ$129&gt;0)), 0, IF($A141-AJ$129=AJ$116, AJ$126-SUM(AJ$131:AJ140), ROUND(PPMT(AJ$115, $A141-AJ$129, AJ$116, -AJ$126), -3)))</f>
        <v>0</v>
      </c>
      <c r="AK141" s="15">
        <f>IF(OR(AK$126=0, $A141-AK$129&gt;AK$116, NOT($A141-AK$129&gt;0)), 0, IF($A141-AK$129=AK$116, AK$126-SUM(AK$131:AK140), ROUND(PPMT(AK$115, $A141-AK$129, AK$116, -AK$126), -3)))</f>
        <v>0</v>
      </c>
      <c r="AL141" s="15">
        <f>IF(OR(AL$126=0, $A141-AL$129&gt;AL$116, NOT($A141-AL$129&gt;0)), 0, IF($A141-AL$129=AL$116, AL$126-SUM(AL$131:AL140), ROUND(PPMT(AL$115, $A141-AL$129, AL$116, -AL$126), -3)))</f>
        <v>0</v>
      </c>
      <c r="AM141" s="15">
        <f>IF(OR(AM$126=0, $A141-AM$129&gt;AM$116, NOT($A141-AM$129&gt;0)), 0, IF($A141-AM$129=AM$116, AM$126-SUM(AM$131:AM140), ROUND(PPMT(AM$115, $A141-AM$129, AM$116, -AM$126), -3)))</f>
        <v>0</v>
      </c>
    </row>
    <row r="142" spans="1:39" outlineLevel="1">
      <c r="A142" s="40">
        <f t="shared" si="105"/>
        <v>2035</v>
      </c>
      <c r="B142" s="46"/>
      <c r="C142" s="15">
        <f>IF(OR(C$126=0, $A142-C$129&gt;C$116, NOT($A142-C$129&gt;0)), 0, IF($A142-C$129=C$116, C$126-SUM(C$131:C141), ROUND(PPMT(C$115, $A142-C$129, C$116, -C$126), -3)))</f>
        <v>3919000</v>
      </c>
      <c r="D142" s="15">
        <f>IF(OR(D$126=0, $A142-D$129&gt;D$116, NOT($A142-D$129&gt;0)), 0, IF($A142-D$129=D$116, D$126-SUM(D$131:D141), ROUND(PPMT(D$115, $A142-D$129, D$116, -D$126), -3)))</f>
        <v>3715000</v>
      </c>
      <c r="E142" s="15">
        <f>IF(OR(E$126=0, $A142-E$129&gt;E$116, NOT($A142-E$129&gt;0)), 0, IF($A142-E$129=E$116, E$126-SUM(E$131:E141), ROUND(PPMT(E$115, $A142-E$129, E$116, -E$126), -3)))</f>
        <v>3521000</v>
      </c>
      <c r="F142" s="46">
        <f>IF(OR(F$126=0, $A142-F$129&gt;F$116, NOT($A142-F$129&gt;0)), 0, IF($A142-F$129=F$116, F$126-SUM(F$131:F141), ROUND(PPMT(F$115, $A142-F$129, F$116, -F$126), -3)))</f>
        <v>2282000</v>
      </c>
      <c r="G142" s="15">
        <f>IF(OR(G$126=0, $A142-G$129&gt;G$116, NOT($A142-G$129&gt;0)), 0, IF($A142-G$129=G$116, G$126-SUM(G$131:G141), ROUND(PPMT(G$115, $A142-G$129, G$116, -G$126), -3)))</f>
        <v>0</v>
      </c>
      <c r="H142" s="15">
        <f>IF(OR(H$126=0, $A142-H$129&gt;H$116, NOT($A142-H$129&gt;0)), 0, IF($A142-H$129=H$116, H$126-SUM(H$131:H141), ROUND(PPMT(H$115, $A142-H$129, H$116, -H$126), -3)))</f>
        <v>0</v>
      </c>
      <c r="I142" s="15">
        <f>IF(OR(I$126=0, $A142-I$129&gt;I$116, NOT($A142-I$129&gt;0)), 0, IF($A142-I$129=I$116, I$126-SUM(I$131:I141), ROUND(PPMT(I$115, $A142-I$129, I$116, -I$126), -3)))</f>
        <v>2332000</v>
      </c>
      <c r="J142" s="15">
        <f>IF(OR(J$126=0, $A142-J$129&gt;J$116, NOT($A142-J$129&gt;0)), 0, IF($A142-J$129=J$116, J$126-SUM(J$131:J141), ROUND(PPMT(J$115, $A142-J$129, J$116, -J$126), -3)))</f>
        <v>0</v>
      </c>
      <c r="K142" s="15">
        <f>IF(OR(K$126=0, $A142-K$129&gt;K$116, NOT($A142-K$129&gt;0)), 0, IF($A142-K$129=K$116, K$126-SUM(K$131:K141), ROUND(PPMT(K$115, $A142-K$129, K$116, -K$126), -3)))</f>
        <v>0</v>
      </c>
      <c r="L142" s="15">
        <f>IF(OR(L$126=0, $A142-L$129&gt;L$116, NOT($A142-L$129&gt;0)), 0, IF($A142-L$129=L$116, L$126-SUM(L$131:L141), ROUND(PPMT(L$115, $A142-L$129, L$116, -L$126), -3)))</f>
        <v>0</v>
      </c>
      <c r="M142" s="15">
        <f>IF(OR(M$126=0, $A142-M$129&gt;M$116, NOT($A142-M$129&gt;0)), 0, IF($A142-M$129=M$116, M$126-SUM(M$131:M141), ROUND(PPMT(M$115, $A142-M$129, M$116, -M$126), -3)))</f>
        <v>641000</v>
      </c>
      <c r="N142" s="15">
        <f>IF(OR(N$126=0, $A142-N$129&gt;N$116, NOT($A142-N$129&gt;0)), 0, IF($A142-N$129=N$116, N$126-SUM(N$131:N141), ROUND(PPMT(N$115, $A142-N$129, N$116, -N$126), -3)))</f>
        <v>0</v>
      </c>
      <c r="O142" s="15">
        <f>IF(OR(O$126=0, $A142-O$129&gt;O$116, NOT($A142-O$129&gt;0)), 0, IF($A142-O$129=O$116, O$126-SUM(O$131:O141), ROUND(PPMT(O$115, $A142-O$129, O$116, -O$126), -3)))</f>
        <v>0</v>
      </c>
      <c r="P142" s="15">
        <f>IF(OR(P$126=0, $A142-P$129&gt;P$116, NOT($A142-P$129&gt;0)), 0, IF($A142-P$129=P$116, P$126-SUM(P$131:P141), ROUND(PPMT(P$115, $A142-P$129, P$116, -P$126), -3)))</f>
        <v>0</v>
      </c>
      <c r="Q142" s="15">
        <f>IF(OR(Q$126=0, $A142-Q$129&gt;Q$116, NOT($A142-Q$129&gt;0)), 0, IF($A142-Q$129=Q$116, Q$126-SUM(Q$131:Q141), ROUND(PPMT(Q$115, $A142-Q$129, Q$116, -Q$126), -3)))</f>
        <v>0</v>
      </c>
      <c r="R142" s="15">
        <f>IF(OR(R$126=0, $A142-R$129&gt;R$116, NOT($A142-R$129&gt;0)), 0, IF($A142-R$129=R$116, R$126-SUM(R$131:R141), ROUND(PPMT(R$115, $A142-R$129, R$116, -R$126), -3)))</f>
        <v>0</v>
      </c>
      <c r="S142" s="15">
        <f>IF(OR(S$126=0, $A142-S$129&gt;S$116, NOT($A142-S$129&gt;0)), 0, IF($A142-S$129=S$116, S$126-SUM(S$131:S141), ROUND(PPMT(S$115, $A142-S$129, S$116, -S$126), -3)))</f>
        <v>0</v>
      </c>
      <c r="T142" s="15">
        <f>IF(OR(T$126=0, $A142-T$129&gt;T$116, NOT($A142-T$129&gt;0)), 0, IF($A142-T$129=T$116, T$126-SUM(T$131:T141), ROUND(PPMT(T$115, $A142-T$129, T$116, -T$126), -3)))</f>
        <v>0</v>
      </c>
      <c r="U142" s="15">
        <f>IF(OR(U$126=0, $A142-U$129&gt;U$116, NOT($A142-U$129&gt;0)), 0, IF($A142-U$129=U$116, U$126-SUM(U$131:U141), ROUND(PPMT(U$115, $A142-U$129, U$116, -U$126), -3)))</f>
        <v>0</v>
      </c>
      <c r="V142" s="15">
        <f>IF(OR(V$126=0, $A142-V$129&gt;V$116, NOT($A142-V$129&gt;0)), 0, IF($A142-V$129=V$116, V$126-SUM(V$131:V141), ROUND(PPMT(V$115, $A142-V$129, V$116, -V$126), -3)))</f>
        <v>0</v>
      </c>
      <c r="W142" s="15">
        <f>IF(OR(W$126=0, $A142-W$129&gt;W$116, NOT($A142-W$129&gt;0)), 0, IF($A142-W$129=W$116, W$126-SUM(W$131:W141), ROUND(PPMT(W$115, $A142-W$129, W$116, -W$126), -3)))</f>
        <v>0</v>
      </c>
      <c r="X142" s="15">
        <f>IF(OR(X$126=0, $A142-X$129&gt;X$116, NOT($A142-X$129&gt;0)), 0, IF($A142-X$129=X$116, X$126-SUM(X$131:X141), ROUND(PPMT(X$115, $A142-X$129, X$116, -X$126), -3)))</f>
        <v>0</v>
      </c>
      <c r="Y142" s="15">
        <f>IF(OR(Y$126=0, $A142-Y$129&gt;Y$116, NOT($A142-Y$129&gt;0)), 0, IF($A142-Y$129=Y$116, Y$126-SUM(Y$131:Y141), ROUND(PPMT(Y$115, $A142-Y$129, Y$116, -Y$126), -3)))</f>
        <v>0</v>
      </c>
      <c r="Z142" s="15">
        <f>IF(OR(Z$126=0, $A142-Z$129&gt;Z$116, NOT($A142-Z$129&gt;0)), 0, IF($A142-Z$129=Z$116, Z$126-SUM(Z$131:Z141), ROUND(PPMT(Z$115, $A142-Z$129, Z$116, -Z$126), -3)))</f>
        <v>0</v>
      </c>
      <c r="AA142" s="15">
        <f>IF(OR(AA$126=0, $A142-AA$129&gt;AA$116, NOT($A142-AA$129&gt;0)), 0, IF($A142-AA$129=AA$116, AA$126-SUM(AA$131:AA141), ROUND(PPMT(AA$115, $A142-AA$129, AA$116, -AA$126), -3)))</f>
        <v>0</v>
      </c>
      <c r="AB142" s="15">
        <f>IF(OR(AB$126=0, $A142-AB$129&gt;AB$116, NOT($A142-AB$129&gt;0)), 0, IF($A142-AB$129=AB$116, AB$126-SUM(AB$131:AB141), ROUND(PPMT(AB$115, $A142-AB$129, AB$116, -AB$126), -3)))</f>
        <v>0</v>
      </c>
      <c r="AC142" s="15">
        <f>IF(OR(AC$126=0, $A142-AC$129&gt;AC$116, NOT($A142-AC$129&gt;0)), 0, IF($A142-AC$129=AC$116, AC$126-SUM(AC$131:AC141), ROUND(PPMT(AC$115, $A142-AC$129, AC$116, -AC$126), -3)))</f>
        <v>0</v>
      </c>
      <c r="AD142" s="15">
        <f>IF(OR(AD$126=0, $A142-AD$129&gt;AD$116, NOT($A142-AD$129&gt;0)), 0, IF($A142-AD$129=AD$116, AD$126-SUM(AD$131:AD141), ROUND(PPMT(AD$115, $A142-AD$129, AD$116, -AD$126), -3)))</f>
        <v>0</v>
      </c>
      <c r="AE142" s="15">
        <f>IF(OR(AE$126=0, $A142-AE$129&gt;AE$116, NOT($A142-AE$129&gt;0)), 0, IF($A142-AE$129=AE$116, AE$126-SUM(AE$131:AE141), ROUND(PPMT(AE$115, $A142-AE$129, AE$116, -AE$126), -3)))</f>
        <v>0</v>
      </c>
      <c r="AF142" s="15">
        <f>IF(OR(AF$126=0, $A142-AF$129&gt;AF$116, NOT($A142-AF$129&gt;0)), 0, IF($A142-AF$129=AF$116, AF$126-SUM(AF$131:AF141), ROUND(PPMT(AF$115, $A142-AF$129, AF$116, -AF$126), -3)))</f>
        <v>0</v>
      </c>
      <c r="AG142" s="15">
        <f>IF(OR(AG$126=0, $A142-AG$129&gt;AG$116, NOT($A142-AG$129&gt;0)), 0, IF($A142-AG$129=AG$116, AG$126-SUM(AG$131:AG141), ROUND(PPMT(AG$115, $A142-AG$129, AG$116, -AG$126), -3)))</f>
        <v>0</v>
      </c>
      <c r="AH142" s="15">
        <f>IF(OR(AH$126=0, $A142-AH$129&gt;AH$116, NOT($A142-AH$129&gt;0)), 0, IF($A142-AH$129=AH$116, AH$126-SUM(AH$131:AH141), ROUND(PPMT(AH$115, $A142-AH$129, AH$116, -AH$126), -3)))</f>
        <v>0</v>
      </c>
      <c r="AI142" s="15">
        <f>IF(OR(AI$126=0, $A142-AI$129&gt;AI$116, NOT($A142-AI$129&gt;0)), 0, IF($A142-AI$129=AI$116, AI$126-SUM(AI$131:AI141), ROUND(PPMT(AI$115, $A142-AI$129, AI$116, -AI$126), -3)))</f>
        <v>0</v>
      </c>
      <c r="AJ142" s="15">
        <f>IF(OR(AJ$126=0, $A142-AJ$129&gt;AJ$116, NOT($A142-AJ$129&gt;0)), 0, IF($A142-AJ$129=AJ$116, AJ$126-SUM(AJ$131:AJ141), ROUND(PPMT(AJ$115, $A142-AJ$129, AJ$116, -AJ$126), -3)))</f>
        <v>0</v>
      </c>
      <c r="AK142" s="15">
        <f>IF(OR(AK$126=0, $A142-AK$129&gt;AK$116, NOT($A142-AK$129&gt;0)), 0, IF($A142-AK$129=AK$116, AK$126-SUM(AK$131:AK141), ROUND(PPMT(AK$115, $A142-AK$129, AK$116, -AK$126), -3)))</f>
        <v>0</v>
      </c>
      <c r="AL142" s="15">
        <f>IF(OR(AL$126=0, $A142-AL$129&gt;AL$116, NOT($A142-AL$129&gt;0)), 0, IF($A142-AL$129=AL$116, AL$126-SUM(AL$131:AL141), ROUND(PPMT(AL$115, $A142-AL$129, AL$116, -AL$126), -3)))</f>
        <v>0</v>
      </c>
      <c r="AM142" s="15">
        <f>IF(OR(AM$126=0, $A142-AM$129&gt;AM$116, NOT($A142-AM$129&gt;0)), 0, IF($A142-AM$129=AM$116, AM$126-SUM(AM$131:AM141), ROUND(PPMT(AM$115, $A142-AM$129, AM$116, -AM$126), -3)))</f>
        <v>0</v>
      </c>
    </row>
    <row r="143" spans="1:39" outlineLevel="1">
      <c r="A143" s="40">
        <f t="shared" si="105"/>
        <v>2036</v>
      </c>
      <c r="B143" s="46"/>
      <c r="C143" s="15">
        <f>IF(OR(C$126=0, $A143-C$129&gt;C$116, NOT($A143-C$129&gt;0)), 0, IF($A143-C$129=C$116, C$126-SUM(C$131:C142), ROUND(PPMT(C$115, $A143-C$129, C$116, -C$126), -3)))</f>
        <v>4135000</v>
      </c>
      <c r="D143" s="15">
        <f>IF(OR(D$126=0, $A143-D$129&gt;D$116, NOT($A143-D$129&gt;0)), 0, IF($A143-D$129=D$116, D$126-SUM(D$131:D142), ROUND(PPMT(D$115, $A143-D$129, D$116, -D$126), -3)))</f>
        <v>3919000</v>
      </c>
      <c r="E143" s="15">
        <f>IF(OR(E$126=0, $A143-E$129&gt;E$116, NOT($A143-E$129&gt;0)), 0, IF($A143-E$129=E$116, E$126-SUM(E$131:E142), ROUND(PPMT(E$115, $A143-E$129, E$116, -E$126), -3)))</f>
        <v>3715000</v>
      </c>
      <c r="F143" s="46">
        <f>IF(OR(F$126=0, $A143-F$129&gt;F$116, NOT($A143-F$129&gt;0)), 0, IF($A143-F$129=F$116, F$126-SUM(F$131:F142), ROUND(PPMT(F$115, $A143-F$129, F$116, -F$126), -3)))</f>
        <v>2408000</v>
      </c>
      <c r="G143" s="15">
        <f>IF(OR(G$126=0, $A143-G$129&gt;G$116, NOT($A143-G$129&gt;0)), 0, IF($A143-G$129=G$116, G$126-SUM(G$131:G142), ROUND(PPMT(G$115, $A143-G$129, G$116, -G$126), -3)))</f>
        <v>0</v>
      </c>
      <c r="H143" s="15">
        <f>IF(OR(H$126=0, $A143-H$129&gt;H$116, NOT($A143-H$129&gt;0)), 0, IF($A143-H$129=H$116, H$126-SUM(H$131:H142), ROUND(PPMT(H$115, $A143-H$129, H$116, -H$126), -3)))</f>
        <v>0</v>
      </c>
      <c r="I143" s="15">
        <f>IF(OR(I$126=0, $A143-I$129&gt;I$116, NOT($A143-I$129&gt;0)), 0, IF($A143-I$129=I$116, I$126-SUM(I$131:I142), ROUND(PPMT(I$115, $A143-I$129, I$116, -I$126), -3)))</f>
        <v>2461000</v>
      </c>
      <c r="J143" s="15">
        <f>IF(OR(J$126=0, $A143-J$129&gt;J$116, NOT($A143-J$129&gt;0)), 0, IF($A143-J$129=J$116, J$126-SUM(J$131:J142), ROUND(PPMT(J$115, $A143-J$129, J$116, -J$126), -3)))</f>
        <v>0</v>
      </c>
      <c r="K143" s="15">
        <f>IF(OR(K$126=0, $A143-K$129&gt;K$116, NOT($A143-K$129&gt;0)), 0, IF($A143-K$129=K$116, K$126-SUM(K$131:K142), ROUND(PPMT(K$115, $A143-K$129, K$116, -K$126), -3)))</f>
        <v>0</v>
      </c>
      <c r="L143" s="15">
        <f>IF(OR(L$126=0, $A143-L$129&gt;L$116, NOT($A143-L$129&gt;0)), 0, IF($A143-L$129=L$116, L$126-SUM(L$131:L142), ROUND(PPMT(L$115, $A143-L$129, L$116, -L$126), -3)))</f>
        <v>0</v>
      </c>
      <c r="M143" s="15">
        <f>IF(OR(M$126=0, $A143-M$129&gt;M$116, NOT($A143-M$129&gt;0)), 0, IF($A143-M$129=M$116, M$126-SUM(M$131:M142), ROUND(PPMT(M$115, $A143-M$129, M$116, -M$126), -3)))</f>
        <v>676000</v>
      </c>
      <c r="N143" s="15">
        <f>IF(OR(N$126=0, $A143-N$129&gt;N$116, NOT($A143-N$129&gt;0)), 0, IF($A143-N$129=N$116, N$126-SUM(N$131:N142), ROUND(PPMT(N$115, $A143-N$129, N$116, -N$126), -3)))</f>
        <v>0</v>
      </c>
      <c r="O143" s="15">
        <f>IF(OR(O$126=0, $A143-O$129&gt;O$116, NOT($A143-O$129&gt;0)), 0, IF($A143-O$129=O$116, O$126-SUM(O$131:O142), ROUND(PPMT(O$115, $A143-O$129, O$116, -O$126), -3)))</f>
        <v>0</v>
      </c>
      <c r="P143" s="15">
        <f>IF(OR(P$126=0, $A143-P$129&gt;P$116, NOT($A143-P$129&gt;0)), 0, IF($A143-P$129=P$116, P$126-SUM(P$131:P142), ROUND(PPMT(P$115, $A143-P$129, P$116, -P$126), -3)))</f>
        <v>0</v>
      </c>
      <c r="Q143" s="15">
        <f>IF(OR(Q$126=0, $A143-Q$129&gt;Q$116, NOT($A143-Q$129&gt;0)), 0, IF($A143-Q$129=Q$116, Q$126-SUM(Q$131:Q142), ROUND(PPMT(Q$115, $A143-Q$129, Q$116, -Q$126), -3)))</f>
        <v>0</v>
      </c>
      <c r="R143" s="15">
        <f>IF(OR(R$126=0, $A143-R$129&gt;R$116, NOT($A143-R$129&gt;0)), 0, IF($A143-R$129=R$116, R$126-SUM(R$131:R142), ROUND(PPMT(R$115, $A143-R$129, R$116, -R$126), -3)))</f>
        <v>0</v>
      </c>
      <c r="S143" s="15">
        <f>IF(OR(S$126=0, $A143-S$129&gt;S$116, NOT($A143-S$129&gt;0)), 0, IF($A143-S$129=S$116, S$126-SUM(S$131:S142), ROUND(PPMT(S$115, $A143-S$129, S$116, -S$126), -3)))</f>
        <v>0</v>
      </c>
      <c r="T143" s="15">
        <f>IF(OR(T$126=0, $A143-T$129&gt;T$116, NOT($A143-T$129&gt;0)), 0, IF($A143-T$129=T$116, T$126-SUM(T$131:T142), ROUND(PPMT(T$115, $A143-T$129, T$116, -T$126), -3)))</f>
        <v>0</v>
      </c>
      <c r="U143" s="15">
        <f>IF(OR(U$126=0, $A143-U$129&gt;U$116, NOT($A143-U$129&gt;0)), 0, IF($A143-U$129=U$116, U$126-SUM(U$131:U142), ROUND(PPMT(U$115, $A143-U$129, U$116, -U$126), -3)))</f>
        <v>0</v>
      </c>
      <c r="V143" s="15">
        <f>IF(OR(V$126=0, $A143-V$129&gt;V$116, NOT($A143-V$129&gt;0)), 0, IF($A143-V$129=V$116, V$126-SUM(V$131:V142), ROUND(PPMT(V$115, $A143-V$129, V$116, -V$126), -3)))</f>
        <v>0</v>
      </c>
      <c r="W143" s="15">
        <f>IF(OR(W$126=0, $A143-W$129&gt;W$116, NOT($A143-W$129&gt;0)), 0, IF($A143-W$129=W$116, W$126-SUM(W$131:W142), ROUND(PPMT(W$115, $A143-W$129, W$116, -W$126), -3)))</f>
        <v>0</v>
      </c>
      <c r="X143" s="15">
        <f>IF(OR(X$126=0, $A143-X$129&gt;X$116, NOT($A143-X$129&gt;0)), 0, IF($A143-X$129=X$116, X$126-SUM(X$131:X142), ROUND(PPMT(X$115, $A143-X$129, X$116, -X$126), -3)))</f>
        <v>0</v>
      </c>
      <c r="Y143" s="15">
        <f>IF(OR(Y$126=0, $A143-Y$129&gt;Y$116, NOT($A143-Y$129&gt;0)), 0, IF($A143-Y$129=Y$116, Y$126-SUM(Y$131:Y142), ROUND(PPMT(Y$115, $A143-Y$129, Y$116, -Y$126), -3)))</f>
        <v>0</v>
      </c>
      <c r="Z143" s="15">
        <f>IF(OR(Z$126=0, $A143-Z$129&gt;Z$116, NOT($A143-Z$129&gt;0)), 0, IF($A143-Z$129=Z$116, Z$126-SUM(Z$131:Z142), ROUND(PPMT(Z$115, $A143-Z$129, Z$116, -Z$126), -3)))</f>
        <v>0</v>
      </c>
      <c r="AA143" s="15">
        <f>IF(OR(AA$126=0, $A143-AA$129&gt;AA$116, NOT($A143-AA$129&gt;0)), 0, IF($A143-AA$129=AA$116, AA$126-SUM(AA$131:AA142), ROUND(PPMT(AA$115, $A143-AA$129, AA$116, -AA$126), -3)))</f>
        <v>0</v>
      </c>
      <c r="AB143" s="15">
        <f>IF(OR(AB$126=0, $A143-AB$129&gt;AB$116, NOT($A143-AB$129&gt;0)), 0, IF($A143-AB$129=AB$116, AB$126-SUM(AB$131:AB142), ROUND(PPMT(AB$115, $A143-AB$129, AB$116, -AB$126), -3)))</f>
        <v>0</v>
      </c>
      <c r="AC143" s="15">
        <f>IF(OR(AC$126=0, $A143-AC$129&gt;AC$116, NOT($A143-AC$129&gt;0)), 0, IF($A143-AC$129=AC$116, AC$126-SUM(AC$131:AC142), ROUND(PPMT(AC$115, $A143-AC$129, AC$116, -AC$126), -3)))</f>
        <v>0</v>
      </c>
      <c r="AD143" s="15">
        <f>IF(OR(AD$126=0, $A143-AD$129&gt;AD$116, NOT($A143-AD$129&gt;0)), 0, IF($A143-AD$129=AD$116, AD$126-SUM(AD$131:AD142), ROUND(PPMT(AD$115, $A143-AD$129, AD$116, -AD$126), -3)))</f>
        <v>0</v>
      </c>
      <c r="AE143" s="15">
        <f>IF(OR(AE$126=0, $A143-AE$129&gt;AE$116, NOT($A143-AE$129&gt;0)), 0, IF($A143-AE$129=AE$116, AE$126-SUM(AE$131:AE142), ROUND(PPMT(AE$115, $A143-AE$129, AE$116, -AE$126), -3)))</f>
        <v>0</v>
      </c>
      <c r="AF143" s="15">
        <f>IF(OR(AF$126=0, $A143-AF$129&gt;AF$116, NOT($A143-AF$129&gt;0)), 0, IF($A143-AF$129=AF$116, AF$126-SUM(AF$131:AF142), ROUND(PPMT(AF$115, $A143-AF$129, AF$116, -AF$126), -3)))</f>
        <v>0</v>
      </c>
      <c r="AG143" s="15">
        <f>IF(OR(AG$126=0, $A143-AG$129&gt;AG$116, NOT($A143-AG$129&gt;0)), 0, IF($A143-AG$129=AG$116, AG$126-SUM(AG$131:AG142), ROUND(PPMT(AG$115, $A143-AG$129, AG$116, -AG$126), -3)))</f>
        <v>0</v>
      </c>
      <c r="AH143" s="15">
        <f>IF(OR(AH$126=0, $A143-AH$129&gt;AH$116, NOT($A143-AH$129&gt;0)), 0, IF($A143-AH$129=AH$116, AH$126-SUM(AH$131:AH142), ROUND(PPMT(AH$115, $A143-AH$129, AH$116, -AH$126), -3)))</f>
        <v>0</v>
      </c>
      <c r="AI143" s="15">
        <f>IF(OR(AI$126=0, $A143-AI$129&gt;AI$116, NOT($A143-AI$129&gt;0)), 0, IF($A143-AI$129=AI$116, AI$126-SUM(AI$131:AI142), ROUND(PPMT(AI$115, $A143-AI$129, AI$116, -AI$126), -3)))</f>
        <v>0</v>
      </c>
      <c r="AJ143" s="15">
        <f>IF(OR(AJ$126=0, $A143-AJ$129&gt;AJ$116, NOT($A143-AJ$129&gt;0)), 0, IF($A143-AJ$129=AJ$116, AJ$126-SUM(AJ$131:AJ142), ROUND(PPMT(AJ$115, $A143-AJ$129, AJ$116, -AJ$126), -3)))</f>
        <v>0</v>
      </c>
      <c r="AK143" s="15">
        <f>IF(OR(AK$126=0, $A143-AK$129&gt;AK$116, NOT($A143-AK$129&gt;0)), 0, IF($A143-AK$129=AK$116, AK$126-SUM(AK$131:AK142), ROUND(PPMT(AK$115, $A143-AK$129, AK$116, -AK$126), -3)))</f>
        <v>0</v>
      </c>
      <c r="AL143" s="15">
        <f>IF(OR(AL$126=0, $A143-AL$129&gt;AL$116, NOT($A143-AL$129&gt;0)), 0, IF($A143-AL$129=AL$116, AL$126-SUM(AL$131:AL142), ROUND(PPMT(AL$115, $A143-AL$129, AL$116, -AL$126), -3)))</f>
        <v>0</v>
      </c>
      <c r="AM143" s="15">
        <f>IF(OR(AM$126=0, $A143-AM$129&gt;AM$116, NOT($A143-AM$129&gt;0)), 0, IF($A143-AM$129=AM$116, AM$126-SUM(AM$131:AM142), ROUND(PPMT(AM$115, $A143-AM$129, AM$116, -AM$126), -3)))</f>
        <v>0</v>
      </c>
    </row>
    <row r="144" spans="1:39" outlineLevel="1">
      <c r="A144" s="40">
        <f t="shared" si="105"/>
        <v>2037</v>
      </c>
      <c r="B144" s="46"/>
      <c r="C144" s="15">
        <f>IF(OR(C$126=0, $A144-C$129&gt;C$116, NOT($A144-C$129&gt;0)), 0, IF($A144-C$129=C$116, C$126-SUM(C$131:C143), ROUND(PPMT(C$115, $A144-C$129, C$116, -C$126), -3)))</f>
        <v>4362000</v>
      </c>
      <c r="D144" s="15">
        <f>IF(OR(D$126=0, $A144-D$129&gt;D$116, NOT($A144-D$129&gt;0)), 0, IF($A144-D$129=D$116, D$126-SUM(D$131:D143), ROUND(PPMT(D$115, $A144-D$129, D$116, -D$126), -3)))</f>
        <v>4135000</v>
      </c>
      <c r="E144" s="15">
        <f>IF(OR(E$126=0, $A144-E$129&gt;E$116, NOT($A144-E$129&gt;0)), 0, IF($A144-E$129=E$116, E$126-SUM(E$131:E143), ROUND(PPMT(E$115, $A144-E$129, E$116, -E$126), -3)))</f>
        <v>3919000</v>
      </c>
      <c r="F144" s="46">
        <f>IF(OR(F$126=0, $A144-F$129&gt;F$116, NOT($A144-F$129&gt;0)), 0, IF($A144-F$129=F$116, F$126-SUM(F$131:F143), ROUND(PPMT(F$115, $A144-F$129, F$116, -F$126), -3)))</f>
        <v>2540000</v>
      </c>
      <c r="G144" s="15">
        <f>IF(OR(G$126=0, $A144-G$129&gt;G$116, NOT($A144-G$129&gt;0)), 0, IF($A144-G$129=G$116, G$126-SUM(G$131:G143), ROUND(PPMT(G$115, $A144-G$129, G$116, -G$126), -3)))</f>
        <v>0</v>
      </c>
      <c r="H144" s="15">
        <f>IF(OR(H$126=0, $A144-H$129&gt;H$116, NOT($A144-H$129&gt;0)), 0, IF($A144-H$129=H$116, H$126-SUM(H$131:H143), ROUND(PPMT(H$115, $A144-H$129, H$116, -H$126), -3)))</f>
        <v>0</v>
      </c>
      <c r="I144" s="15">
        <f>IF(OR(I$126=0, $A144-I$129&gt;I$116, NOT($A144-I$129&gt;0)), 0, IF($A144-I$129=I$116, I$126-SUM(I$131:I143), ROUND(PPMT(I$115, $A144-I$129, I$116, -I$126), -3)))</f>
        <v>2596000</v>
      </c>
      <c r="J144" s="15">
        <f>IF(OR(J$126=0, $A144-J$129&gt;J$116, NOT($A144-J$129&gt;0)), 0, IF($A144-J$129=J$116, J$126-SUM(J$131:J143), ROUND(PPMT(J$115, $A144-J$129, J$116, -J$126), -3)))</f>
        <v>0</v>
      </c>
      <c r="K144" s="15">
        <f>IF(OR(K$126=0, $A144-K$129&gt;K$116, NOT($A144-K$129&gt;0)), 0, IF($A144-K$129=K$116, K$126-SUM(K$131:K143), ROUND(PPMT(K$115, $A144-K$129, K$116, -K$126), -3)))</f>
        <v>0</v>
      </c>
      <c r="L144" s="15">
        <f>IF(OR(L$126=0, $A144-L$129&gt;L$116, NOT($A144-L$129&gt;0)), 0, IF($A144-L$129=L$116, L$126-SUM(L$131:L143), ROUND(PPMT(L$115, $A144-L$129, L$116, -L$126), -3)))</f>
        <v>0</v>
      </c>
      <c r="M144" s="15">
        <f>IF(OR(M$126=0, $A144-M$129&gt;M$116, NOT($A144-M$129&gt;0)), 0, IF($A144-M$129=M$116, M$126-SUM(M$131:M143), ROUND(PPMT(M$115, $A144-M$129, M$116, -M$126), -3)))</f>
        <v>713000</v>
      </c>
      <c r="N144" s="15">
        <f>IF(OR(N$126=0, $A144-N$129&gt;N$116, NOT($A144-N$129&gt;0)), 0, IF($A144-N$129=N$116, N$126-SUM(N$131:N143), ROUND(PPMT(N$115, $A144-N$129, N$116, -N$126), -3)))</f>
        <v>0</v>
      </c>
      <c r="O144" s="15">
        <f>IF(OR(O$126=0, $A144-O$129&gt;O$116, NOT($A144-O$129&gt;0)), 0, IF($A144-O$129=O$116, O$126-SUM(O$131:O143), ROUND(PPMT(O$115, $A144-O$129, O$116, -O$126), -3)))</f>
        <v>1437000</v>
      </c>
      <c r="P144" s="15">
        <f>IF(OR(P$126=0, $A144-P$129&gt;P$116, NOT($A144-P$129&gt;0)), 0, IF($A144-P$129=P$116, P$126-SUM(P$131:P143), ROUND(PPMT(P$115, $A144-P$129, P$116, -P$126), -3)))</f>
        <v>0</v>
      </c>
      <c r="Q144" s="15">
        <f>IF(OR(Q$126=0, $A144-Q$129&gt;Q$116, NOT($A144-Q$129&gt;0)), 0, IF($A144-Q$129=Q$116, Q$126-SUM(Q$131:Q143), ROUND(PPMT(Q$115, $A144-Q$129, Q$116, -Q$126), -3)))</f>
        <v>0</v>
      </c>
      <c r="R144" s="15">
        <f>IF(OR(R$126=0, $A144-R$129&gt;R$116, NOT($A144-R$129&gt;0)), 0, IF($A144-R$129=R$116, R$126-SUM(R$131:R143), ROUND(PPMT(R$115, $A144-R$129, R$116, -R$126), -3)))</f>
        <v>0</v>
      </c>
      <c r="S144" s="15">
        <f>IF(OR(S$126=0, $A144-S$129&gt;S$116, NOT($A144-S$129&gt;0)), 0, IF($A144-S$129=S$116, S$126-SUM(S$131:S143), ROUND(PPMT(S$115, $A144-S$129, S$116, -S$126), -3)))</f>
        <v>0</v>
      </c>
      <c r="T144" s="15">
        <f>IF(OR(T$126=0, $A144-T$129&gt;T$116, NOT($A144-T$129&gt;0)), 0, IF($A144-T$129=T$116, T$126-SUM(T$131:T143), ROUND(PPMT(T$115, $A144-T$129, T$116, -T$126), -3)))</f>
        <v>0</v>
      </c>
      <c r="U144" s="15">
        <f>IF(OR(U$126=0, $A144-U$129&gt;U$116, NOT($A144-U$129&gt;0)), 0, IF($A144-U$129=U$116, U$126-SUM(U$131:U143), ROUND(PPMT(U$115, $A144-U$129, U$116, -U$126), -3)))</f>
        <v>0</v>
      </c>
      <c r="V144" s="15">
        <f>IF(OR(V$126=0, $A144-V$129&gt;V$116, NOT($A144-V$129&gt;0)), 0, IF($A144-V$129=V$116, V$126-SUM(V$131:V143), ROUND(PPMT(V$115, $A144-V$129, V$116, -V$126), -3)))</f>
        <v>0</v>
      </c>
      <c r="W144" s="15">
        <f>IF(OR(W$126=0, $A144-W$129&gt;W$116, NOT($A144-W$129&gt;0)), 0, IF($A144-W$129=W$116, W$126-SUM(W$131:W143), ROUND(PPMT(W$115, $A144-W$129, W$116, -W$126), -3)))</f>
        <v>0</v>
      </c>
      <c r="X144" s="15">
        <f>IF(OR(X$126=0, $A144-X$129&gt;X$116, NOT($A144-X$129&gt;0)), 0, IF($A144-X$129=X$116, X$126-SUM(X$131:X143), ROUND(PPMT(X$115, $A144-X$129, X$116, -X$126), -3)))</f>
        <v>0</v>
      </c>
      <c r="Y144" s="15">
        <f>IF(OR(Y$126=0, $A144-Y$129&gt;Y$116, NOT($A144-Y$129&gt;0)), 0, IF($A144-Y$129=Y$116, Y$126-SUM(Y$131:Y143), ROUND(PPMT(Y$115, $A144-Y$129, Y$116, -Y$126), -3)))</f>
        <v>0</v>
      </c>
      <c r="Z144" s="15">
        <f>IF(OR(Z$126=0, $A144-Z$129&gt;Z$116, NOT($A144-Z$129&gt;0)), 0, IF($A144-Z$129=Z$116, Z$126-SUM(Z$131:Z143), ROUND(PPMT(Z$115, $A144-Z$129, Z$116, -Z$126), -3)))</f>
        <v>0</v>
      </c>
      <c r="AA144" s="15">
        <f>IF(OR(AA$126=0, $A144-AA$129&gt;AA$116, NOT($A144-AA$129&gt;0)), 0, IF($A144-AA$129=AA$116, AA$126-SUM(AA$131:AA143), ROUND(PPMT(AA$115, $A144-AA$129, AA$116, -AA$126), -3)))</f>
        <v>0</v>
      </c>
      <c r="AB144" s="15">
        <f>IF(OR(AB$126=0, $A144-AB$129&gt;AB$116, NOT($A144-AB$129&gt;0)), 0, IF($A144-AB$129=AB$116, AB$126-SUM(AB$131:AB143), ROUND(PPMT(AB$115, $A144-AB$129, AB$116, -AB$126), -3)))</f>
        <v>0</v>
      </c>
      <c r="AC144" s="15">
        <f>IF(OR(AC$126=0, $A144-AC$129&gt;AC$116, NOT($A144-AC$129&gt;0)), 0, IF($A144-AC$129=AC$116, AC$126-SUM(AC$131:AC143), ROUND(PPMT(AC$115, $A144-AC$129, AC$116, -AC$126), -3)))</f>
        <v>0</v>
      </c>
      <c r="AD144" s="15">
        <f>IF(OR(AD$126=0, $A144-AD$129&gt;AD$116, NOT($A144-AD$129&gt;0)), 0, IF($A144-AD$129=AD$116, AD$126-SUM(AD$131:AD143), ROUND(PPMT(AD$115, $A144-AD$129, AD$116, -AD$126), -3)))</f>
        <v>0</v>
      </c>
      <c r="AE144" s="15">
        <f>IF(OR(AE$126=0, $A144-AE$129&gt;AE$116, NOT($A144-AE$129&gt;0)), 0, IF($A144-AE$129=AE$116, AE$126-SUM(AE$131:AE143), ROUND(PPMT(AE$115, $A144-AE$129, AE$116, -AE$126), -3)))</f>
        <v>0</v>
      </c>
      <c r="AF144" s="15">
        <f>IF(OR(AF$126=0, $A144-AF$129&gt;AF$116, NOT($A144-AF$129&gt;0)), 0, IF($A144-AF$129=AF$116, AF$126-SUM(AF$131:AF143), ROUND(PPMT(AF$115, $A144-AF$129, AF$116, -AF$126), -3)))</f>
        <v>0</v>
      </c>
      <c r="AG144" s="15">
        <f>IF(OR(AG$126=0, $A144-AG$129&gt;AG$116, NOT($A144-AG$129&gt;0)), 0, IF($A144-AG$129=AG$116, AG$126-SUM(AG$131:AG143), ROUND(PPMT(AG$115, $A144-AG$129, AG$116, -AG$126), -3)))</f>
        <v>0</v>
      </c>
      <c r="AH144" s="15">
        <f>IF(OR(AH$126=0, $A144-AH$129&gt;AH$116, NOT($A144-AH$129&gt;0)), 0, IF($A144-AH$129=AH$116, AH$126-SUM(AH$131:AH143), ROUND(PPMT(AH$115, $A144-AH$129, AH$116, -AH$126), -3)))</f>
        <v>0</v>
      </c>
      <c r="AI144" s="15">
        <f>IF(OR(AI$126=0, $A144-AI$129&gt;AI$116, NOT($A144-AI$129&gt;0)), 0, IF($A144-AI$129=AI$116, AI$126-SUM(AI$131:AI143), ROUND(PPMT(AI$115, $A144-AI$129, AI$116, -AI$126), -3)))</f>
        <v>0</v>
      </c>
      <c r="AJ144" s="15">
        <f>IF(OR(AJ$126=0, $A144-AJ$129&gt;AJ$116, NOT($A144-AJ$129&gt;0)), 0, IF($A144-AJ$129=AJ$116, AJ$126-SUM(AJ$131:AJ143), ROUND(PPMT(AJ$115, $A144-AJ$129, AJ$116, -AJ$126), -3)))</f>
        <v>0</v>
      </c>
      <c r="AK144" s="15">
        <f>IF(OR(AK$126=0, $A144-AK$129&gt;AK$116, NOT($A144-AK$129&gt;0)), 0, IF($A144-AK$129=AK$116, AK$126-SUM(AK$131:AK143), ROUND(PPMT(AK$115, $A144-AK$129, AK$116, -AK$126), -3)))</f>
        <v>0</v>
      </c>
      <c r="AL144" s="15">
        <f>IF(OR(AL$126=0, $A144-AL$129&gt;AL$116, NOT($A144-AL$129&gt;0)), 0, IF($A144-AL$129=AL$116, AL$126-SUM(AL$131:AL143), ROUND(PPMT(AL$115, $A144-AL$129, AL$116, -AL$126), -3)))</f>
        <v>0</v>
      </c>
      <c r="AM144" s="15">
        <f>IF(OR(AM$126=0, $A144-AM$129&gt;AM$116, NOT($A144-AM$129&gt;0)), 0, IF($A144-AM$129=AM$116, AM$126-SUM(AM$131:AM143), ROUND(PPMT(AM$115, $A144-AM$129, AM$116, -AM$126), -3)))</f>
        <v>0</v>
      </c>
    </row>
    <row r="145" spans="1:39" outlineLevel="1">
      <c r="A145" s="40">
        <f t="shared" si="105"/>
        <v>2038</v>
      </c>
      <c r="B145" s="46"/>
      <c r="C145" s="15">
        <f>IF(OR(C$126=0, $A145-C$129&gt;C$116, NOT($A145-C$129&gt;0)), 0, IF($A145-C$129=C$116, C$126-SUM(C$131:C144), ROUND(PPMT(C$115, $A145-C$129, C$116, -C$126), -3)))</f>
        <v>4602000</v>
      </c>
      <c r="D145" s="15">
        <f>IF(OR(D$126=0, $A145-D$129&gt;D$116, NOT($A145-D$129&gt;0)), 0, IF($A145-D$129=D$116, D$126-SUM(D$131:D144), ROUND(PPMT(D$115, $A145-D$129, D$116, -D$126), -3)))</f>
        <v>4362000</v>
      </c>
      <c r="E145" s="15">
        <f>IF(OR(E$126=0, $A145-E$129&gt;E$116, NOT($A145-E$129&gt;0)), 0, IF($A145-E$129=E$116, E$126-SUM(E$131:E144), ROUND(PPMT(E$115, $A145-E$129, E$116, -E$126), -3)))</f>
        <v>4135000</v>
      </c>
      <c r="F145" s="46">
        <f>IF(OR(F$126=0, $A145-F$129&gt;F$116, NOT($A145-F$129&gt;0)), 0, IF($A145-F$129=F$116, F$126-SUM(F$131:F144), ROUND(PPMT(F$115, $A145-F$129, F$116, -F$126), -3)))</f>
        <v>2680000</v>
      </c>
      <c r="G145" s="15">
        <f>IF(OR(G$126=0, $A145-G$129&gt;G$116, NOT($A145-G$129&gt;0)), 0, IF($A145-G$129=G$116, G$126-SUM(G$131:G144), ROUND(PPMT(G$115, $A145-G$129, G$116, -G$126), -3)))</f>
        <v>0</v>
      </c>
      <c r="H145" s="15">
        <f>IF(OR(H$126=0, $A145-H$129&gt;H$116, NOT($A145-H$129&gt;0)), 0, IF($A145-H$129=H$116, H$126-SUM(H$131:H144), ROUND(PPMT(H$115, $A145-H$129, H$116, -H$126), -3)))</f>
        <v>0</v>
      </c>
      <c r="I145" s="15">
        <f>IF(OR(I$126=0, $A145-I$129&gt;I$116, NOT($A145-I$129&gt;0)), 0, IF($A145-I$129=I$116, I$126-SUM(I$131:I144), ROUND(PPMT(I$115, $A145-I$129, I$116, -I$126), -3)))</f>
        <v>2739000</v>
      </c>
      <c r="J145" s="15">
        <f>IF(OR(J$126=0, $A145-J$129&gt;J$116, NOT($A145-J$129&gt;0)), 0, IF($A145-J$129=J$116, J$126-SUM(J$131:J144), ROUND(PPMT(J$115, $A145-J$129, J$116, -J$126), -3)))</f>
        <v>0</v>
      </c>
      <c r="K145" s="15">
        <f>IF(OR(K$126=0, $A145-K$129&gt;K$116, NOT($A145-K$129&gt;0)), 0, IF($A145-K$129=K$116, K$126-SUM(K$131:K144), ROUND(PPMT(K$115, $A145-K$129, K$116, -K$126), -3)))</f>
        <v>0</v>
      </c>
      <c r="L145" s="15">
        <f>IF(OR(L$126=0, $A145-L$129&gt;L$116, NOT($A145-L$129&gt;0)), 0, IF($A145-L$129=L$116, L$126-SUM(L$131:L144), ROUND(PPMT(L$115, $A145-L$129, L$116, -L$126), -3)))</f>
        <v>0</v>
      </c>
      <c r="M145" s="15">
        <f>IF(OR(M$126=0, $A145-M$129&gt;M$116, NOT($A145-M$129&gt;0)), 0, IF($A145-M$129=M$116, M$126-SUM(M$131:M144), ROUND(PPMT(M$115, $A145-M$129, M$116, -M$126), -3)))</f>
        <v>752000</v>
      </c>
      <c r="N145" s="15">
        <f>IF(OR(N$126=0, $A145-N$129&gt;N$116, NOT($A145-N$129&gt;0)), 0, IF($A145-N$129=N$116, N$126-SUM(N$131:N144), ROUND(PPMT(N$115, $A145-N$129, N$116, -N$126), -3)))</f>
        <v>0</v>
      </c>
      <c r="O145" s="15">
        <f>IF(OR(O$126=0, $A145-O$129&gt;O$116, NOT($A145-O$129&gt;0)), 0, IF($A145-O$129=O$116, O$126-SUM(O$131:O144), ROUND(PPMT(O$115, $A145-O$129, O$116, -O$126), -3)))</f>
        <v>1516000</v>
      </c>
      <c r="P145" s="15">
        <f>IF(OR(P$126=0, $A145-P$129&gt;P$116, NOT($A145-P$129&gt;0)), 0, IF($A145-P$129=P$116, P$126-SUM(P$131:P144), ROUND(PPMT(P$115, $A145-P$129, P$116, -P$126), -3)))</f>
        <v>0</v>
      </c>
      <c r="Q145" s="15">
        <f>IF(OR(Q$126=0, $A145-Q$129&gt;Q$116, NOT($A145-Q$129&gt;0)), 0, IF($A145-Q$129=Q$116, Q$126-SUM(Q$131:Q144), ROUND(PPMT(Q$115, $A145-Q$129, Q$116, -Q$126), -3)))</f>
        <v>0</v>
      </c>
      <c r="R145" s="15">
        <f>IF(OR(R$126=0, $A145-R$129&gt;R$116, NOT($A145-R$129&gt;0)), 0, IF($A145-R$129=R$116, R$126-SUM(R$131:R144), ROUND(PPMT(R$115, $A145-R$129, R$116, -R$126), -3)))</f>
        <v>0</v>
      </c>
      <c r="S145" s="15">
        <f>IF(OR(S$126=0, $A145-S$129&gt;S$116, NOT($A145-S$129&gt;0)), 0, IF($A145-S$129=S$116, S$126-SUM(S$131:S144), ROUND(PPMT(S$115, $A145-S$129, S$116, -S$126), -3)))</f>
        <v>0</v>
      </c>
      <c r="T145" s="15">
        <f>IF(OR(T$126=0, $A145-T$129&gt;T$116, NOT($A145-T$129&gt;0)), 0, IF($A145-T$129=T$116, T$126-SUM(T$131:T144), ROUND(PPMT(T$115, $A145-T$129, T$116, -T$126), -3)))</f>
        <v>0</v>
      </c>
      <c r="U145" s="15">
        <f>IF(OR(U$126=0, $A145-U$129&gt;U$116, NOT($A145-U$129&gt;0)), 0, IF($A145-U$129=U$116, U$126-SUM(U$131:U144), ROUND(PPMT(U$115, $A145-U$129, U$116, -U$126), -3)))</f>
        <v>0</v>
      </c>
      <c r="V145" s="15">
        <f>IF(OR(V$126=0, $A145-V$129&gt;V$116, NOT($A145-V$129&gt;0)), 0, IF($A145-V$129=V$116, V$126-SUM(V$131:V144), ROUND(PPMT(V$115, $A145-V$129, V$116, -V$126), -3)))</f>
        <v>0</v>
      </c>
      <c r="W145" s="15">
        <f>IF(OR(W$126=0, $A145-W$129&gt;W$116, NOT($A145-W$129&gt;0)), 0, IF($A145-W$129=W$116, W$126-SUM(W$131:W144), ROUND(PPMT(W$115, $A145-W$129, W$116, -W$126), -3)))</f>
        <v>0</v>
      </c>
      <c r="X145" s="15">
        <f>IF(OR(X$126=0, $A145-X$129&gt;X$116, NOT($A145-X$129&gt;0)), 0, IF($A145-X$129=X$116, X$126-SUM(X$131:X144), ROUND(PPMT(X$115, $A145-X$129, X$116, -X$126), -3)))</f>
        <v>0</v>
      </c>
      <c r="Y145" s="15">
        <f>IF(OR(Y$126=0, $A145-Y$129&gt;Y$116, NOT($A145-Y$129&gt;0)), 0, IF($A145-Y$129=Y$116, Y$126-SUM(Y$131:Y144), ROUND(PPMT(Y$115, $A145-Y$129, Y$116, -Y$126), -3)))</f>
        <v>0</v>
      </c>
      <c r="Z145" s="15">
        <f>IF(OR(Z$126=0, $A145-Z$129&gt;Z$116, NOT($A145-Z$129&gt;0)), 0, IF($A145-Z$129=Z$116, Z$126-SUM(Z$131:Z144), ROUND(PPMT(Z$115, $A145-Z$129, Z$116, -Z$126), -3)))</f>
        <v>0</v>
      </c>
      <c r="AA145" s="15">
        <f>IF(OR(AA$126=0, $A145-AA$129&gt;AA$116, NOT($A145-AA$129&gt;0)), 0, IF($A145-AA$129=AA$116, AA$126-SUM(AA$131:AA144), ROUND(PPMT(AA$115, $A145-AA$129, AA$116, -AA$126), -3)))</f>
        <v>0</v>
      </c>
      <c r="AB145" s="15">
        <f>IF(OR(AB$126=0, $A145-AB$129&gt;AB$116, NOT($A145-AB$129&gt;0)), 0, IF($A145-AB$129=AB$116, AB$126-SUM(AB$131:AB144), ROUND(PPMT(AB$115, $A145-AB$129, AB$116, -AB$126), -3)))</f>
        <v>0</v>
      </c>
      <c r="AC145" s="15">
        <f>IF(OR(AC$126=0, $A145-AC$129&gt;AC$116, NOT($A145-AC$129&gt;0)), 0, IF($A145-AC$129=AC$116, AC$126-SUM(AC$131:AC144), ROUND(PPMT(AC$115, $A145-AC$129, AC$116, -AC$126), -3)))</f>
        <v>0</v>
      </c>
      <c r="AD145" s="15">
        <f>IF(OR(AD$126=0, $A145-AD$129&gt;AD$116, NOT($A145-AD$129&gt;0)), 0, IF($A145-AD$129=AD$116, AD$126-SUM(AD$131:AD144), ROUND(PPMT(AD$115, $A145-AD$129, AD$116, -AD$126), -3)))</f>
        <v>0</v>
      </c>
      <c r="AE145" s="15">
        <f>IF(OR(AE$126=0, $A145-AE$129&gt;AE$116, NOT($A145-AE$129&gt;0)), 0, IF($A145-AE$129=AE$116, AE$126-SUM(AE$131:AE144), ROUND(PPMT(AE$115, $A145-AE$129, AE$116, -AE$126), -3)))</f>
        <v>0</v>
      </c>
      <c r="AF145" s="15">
        <f>IF(OR(AF$126=0, $A145-AF$129&gt;AF$116, NOT($A145-AF$129&gt;0)), 0, IF($A145-AF$129=AF$116, AF$126-SUM(AF$131:AF144), ROUND(PPMT(AF$115, $A145-AF$129, AF$116, -AF$126), -3)))</f>
        <v>0</v>
      </c>
      <c r="AG145" s="15">
        <f>IF(OR(AG$126=0, $A145-AG$129&gt;AG$116, NOT($A145-AG$129&gt;0)), 0, IF($A145-AG$129=AG$116, AG$126-SUM(AG$131:AG144), ROUND(PPMT(AG$115, $A145-AG$129, AG$116, -AG$126), -3)))</f>
        <v>0</v>
      </c>
      <c r="AH145" s="15">
        <f>IF(OR(AH$126=0, $A145-AH$129&gt;AH$116, NOT($A145-AH$129&gt;0)), 0, IF($A145-AH$129=AH$116, AH$126-SUM(AH$131:AH144), ROUND(PPMT(AH$115, $A145-AH$129, AH$116, -AH$126), -3)))</f>
        <v>0</v>
      </c>
      <c r="AI145" s="15">
        <f>IF(OR(AI$126=0, $A145-AI$129&gt;AI$116, NOT($A145-AI$129&gt;0)), 0, IF($A145-AI$129=AI$116, AI$126-SUM(AI$131:AI144), ROUND(PPMT(AI$115, $A145-AI$129, AI$116, -AI$126), -3)))</f>
        <v>0</v>
      </c>
      <c r="AJ145" s="15">
        <f>IF(OR(AJ$126=0, $A145-AJ$129&gt;AJ$116, NOT($A145-AJ$129&gt;0)), 0, IF($A145-AJ$129=AJ$116, AJ$126-SUM(AJ$131:AJ144), ROUND(PPMT(AJ$115, $A145-AJ$129, AJ$116, -AJ$126), -3)))</f>
        <v>0</v>
      </c>
      <c r="AK145" s="15">
        <f>IF(OR(AK$126=0, $A145-AK$129&gt;AK$116, NOT($A145-AK$129&gt;0)), 0, IF($A145-AK$129=AK$116, AK$126-SUM(AK$131:AK144), ROUND(PPMT(AK$115, $A145-AK$129, AK$116, -AK$126), -3)))</f>
        <v>0</v>
      </c>
      <c r="AL145" s="15">
        <f>IF(OR(AL$126=0, $A145-AL$129&gt;AL$116, NOT($A145-AL$129&gt;0)), 0, IF($A145-AL$129=AL$116, AL$126-SUM(AL$131:AL144), ROUND(PPMT(AL$115, $A145-AL$129, AL$116, -AL$126), -3)))</f>
        <v>0</v>
      </c>
      <c r="AM145" s="15">
        <f>IF(OR(AM$126=0, $A145-AM$129&gt;AM$116, NOT($A145-AM$129&gt;0)), 0, IF($A145-AM$129=AM$116, AM$126-SUM(AM$131:AM144), ROUND(PPMT(AM$115, $A145-AM$129, AM$116, -AM$126), -3)))</f>
        <v>0</v>
      </c>
    </row>
    <row r="146" spans="1:39" outlineLevel="1">
      <c r="A146" s="40">
        <f t="shared" si="105"/>
        <v>2039</v>
      </c>
      <c r="B146" s="46"/>
      <c r="C146" s="15">
        <f>IF(OR(C$126=0, $A146-C$129&gt;C$116, NOT($A146-C$129&gt;0)), 0, IF($A146-C$129=C$116, C$126-SUM(C$131:C145), ROUND(PPMT(C$115, $A146-C$129, C$116, -C$126), -3)))</f>
        <v>4855000</v>
      </c>
      <c r="D146" s="15">
        <f>IF(OR(D$126=0, $A146-D$129&gt;D$116, NOT($A146-D$129&gt;0)), 0, IF($A146-D$129=D$116, D$126-SUM(D$131:D145), ROUND(PPMT(D$115, $A146-D$129, D$116, -D$126), -3)))</f>
        <v>4602000</v>
      </c>
      <c r="E146" s="15">
        <f>IF(OR(E$126=0, $A146-E$129&gt;E$116, NOT($A146-E$129&gt;0)), 0, IF($A146-E$129=E$116, E$126-SUM(E$131:E145), ROUND(PPMT(E$115, $A146-E$129, E$116, -E$126), -3)))</f>
        <v>4362000</v>
      </c>
      <c r="F146" s="46">
        <f>IF(OR(F$126=0, $A146-F$129&gt;F$116, NOT($A146-F$129&gt;0)), 0, IF($A146-F$129=F$116, F$126-SUM(F$131:F145), ROUND(PPMT(F$115, $A146-F$129, F$116, -F$126), -3)))</f>
        <v>2828000</v>
      </c>
      <c r="G146" s="15">
        <f>IF(OR(G$126=0, $A146-G$129&gt;G$116, NOT($A146-G$129&gt;0)), 0, IF($A146-G$129=G$116, G$126-SUM(G$131:G145), ROUND(PPMT(G$115, $A146-G$129, G$116, -G$126), -3)))</f>
        <v>0</v>
      </c>
      <c r="H146" s="15">
        <f>IF(OR(H$126=0, $A146-H$129&gt;H$116, NOT($A146-H$129&gt;0)), 0, IF($A146-H$129=H$116, H$126-SUM(H$131:H145), ROUND(PPMT(H$115, $A146-H$129, H$116, -H$126), -3)))</f>
        <v>0</v>
      </c>
      <c r="I146" s="15">
        <f>IF(OR(I$126=0, $A146-I$129&gt;I$116, NOT($A146-I$129&gt;0)), 0, IF($A146-I$129=I$116, I$126-SUM(I$131:I145), ROUND(PPMT(I$115, $A146-I$129, I$116, -I$126), -3)))</f>
        <v>2889000</v>
      </c>
      <c r="J146" s="15">
        <f>IF(OR(J$126=0, $A146-J$129&gt;J$116, NOT($A146-J$129&gt;0)), 0, IF($A146-J$129=J$116, J$126-SUM(J$131:J145), ROUND(PPMT(J$115, $A146-J$129, J$116, -J$126), -3)))</f>
        <v>0</v>
      </c>
      <c r="K146" s="15">
        <f>IF(OR(K$126=0, $A146-K$129&gt;K$116, NOT($A146-K$129&gt;0)), 0, IF($A146-K$129=K$116, K$126-SUM(K$131:K145), ROUND(PPMT(K$115, $A146-K$129, K$116, -K$126), -3)))</f>
        <v>0</v>
      </c>
      <c r="L146" s="15">
        <f>IF(OR(L$126=0, $A146-L$129&gt;L$116, NOT($A146-L$129&gt;0)), 0, IF($A146-L$129=L$116, L$126-SUM(L$131:L145), ROUND(PPMT(L$115, $A146-L$129, L$116, -L$126), -3)))</f>
        <v>0</v>
      </c>
      <c r="M146" s="15">
        <f>IF(OR(M$126=0, $A146-M$129&gt;M$116, NOT($A146-M$129&gt;0)), 0, IF($A146-M$129=M$116, M$126-SUM(M$131:M145), ROUND(PPMT(M$115, $A146-M$129, M$116, -M$126), -3)))</f>
        <v>794000</v>
      </c>
      <c r="N146" s="15">
        <f>IF(OR(N$126=0, $A146-N$129&gt;N$116, NOT($A146-N$129&gt;0)), 0, IF($A146-N$129=N$116, N$126-SUM(N$131:N145), ROUND(PPMT(N$115, $A146-N$129, N$116, -N$126), -3)))</f>
        <v>0</v>
      </c>
      <c r="O146" s="15">
        <f>IF(OR(O$126=0, $A146-O$129&gt;O$116, NOT($A146-O$129&gt;0)), 0, IF($A146-O$129=O$116, O$126-SUM(O$131:O145), ROUND(PPMT(O$115, $A146-O$129, O$116, -O$126), -3)))</f>
        <v>1600000</v>
      </c>
      <c r="P146" s="15">
        <f>IF(OR(P$126=0, $A146-P$129&gt;P$116, NOT($A146-P$129&gt;0)), 0, IF($A146-P$129=P$116, P$126-SUM(P$131:P145), ROUND(PPMT(P$115, $A146-P$129, P$116, -P$126), -3)))</f>
        <v>0</v>
      </c>
      <c r="Q146" s="15">
        <f>IF(OR(Q$126=0, $A146-Q$129&gt;Q$116, NOT($A146-Q$129&gt;0)), 0, IF($A146-Q$129=Q$116, Q$126-SUM(Q$131:Q145), ROUND(PPMT(Q$115, $A146-Q$129, Q$116, -Q$126), -3)))</f>
        <v>1647000</v>
      </c>
      <c r="R146" s="15">
        <f>IF(OR(R$126=0, $A146-R$129&gt;R$116, NOT($A146-R$129&gt;0)), 0, IF($A146-R$129=R$116, R$126-SUM(R$131:R145), ROUND(PPMT(R$115, $A146-R$129, R$116, -R$126), -3)))</f>
        <v>0</v>
      </c>
      <c r="S146" s="15">
        <f>IF(OR(S$126=0, $A146-S$129&gt;S$116, NOT($A146-S$129&gt;0)), 0, IF($A146-S$129=S$116, S$126-SUM(S$131:S145), ROUND(PPMT(S$115, $A146-S$129, S$116, -S$126), -3)))</f>
        <v>0</v>
      </c>
      <c r="T146" s="15">
        <f>IF(OR(T$126=0, $A146-T$129&gt;T$116, NOT($A146-T$129&gt;0)), 0, IF($A146-T$129=T$116, T$126-SUM(T$131:T145), ROUND(PPMT(T$115, $A146-T$129, T$116, -T$126), -3)))</f>
        <v>0</v>
      </c>
      <c r="U146" s="15">
        <f>IF(OR(U$126=0, $A146-U$129&gt;U$116, NOT($A146-U$129&gt;0)), 0, IF($A146-U$129=U$116, U$126-SUM(U$131:U145), ROUND(PPMT(U$115, $A146-U$129, U$116, -U$126), -3)))</f>
        <v>0</v>
      </c>
      <c r="V146" s="15">
        <f>IF(OR(V$126=0, $A146-V$129&gt;V$116, NOT($A146-V$129&gt;0)), 0, IF($A146-V$129=V$116, V$126-SUM(V$131:V145), ROUND(PPMT(V$115, $A146-V$129, V$116, -V$126), -3)))</f>
        <v>0</v>
      </c>
      <c r="W146" s="15">
        <f>IF(OR(W$126=0, $A146-W$129&gt;W$116, NOT($A146-W$129&gt;0)), 0, IF($A146-W$129=W$116, W$126-SUM(W$131:W145), ROUND(PPMT(W$115, $A146-W$129, W$116, -W$126), -3)))</f>
        <v>0</v>
      </c>
      <c r="X146" s="15">
        <f>IF(OR(X$126=0, $A146-X$129&gt;X$116, NOT($A146-X$129&gt;0)), 0, IF($A146-X$129=X$116, X$126-SUM(X$131:X145), ROUND(PPMT(X$115, $A146-X$129, X$116, -X$126), -3)))</f>
        <v>0</v>
      </c>
      <c r="Y146" s="15">
        <f>IF(OR(Y$126=0, $A146-Y$129&gt;Y$116, NOT($A146-Y$129&gt;0)), 0, IF($A146-Y$129=Y$116, Y$126-SUM(Y$131:Y145), ROUND(PPMT(Y$115, $A146-Y$129, Y$116, -Y$126), -3)))</f>
        <v>0</v>
      </c>
      <c r="Z146" s="15">
        <f>IF(OR(Z$126=0, $A146-Z$129&gt;Z$116, NOT($A146-Z$129&gt;0)), 0, IF($A146-Z$129=Z$116, Z$126-SUM(Z$131:Z145), ROUND(PPMT(Z$115, $A146-Z$129, Z$116, -Z$126), -3)))</f>
        <v>0</v>
      </c>
      <c r="AA146" s="15">
        <f>IF(OR(AA$126=0, $A146-AA$129&gt;AA$116, NOT($A146-AA$129&gt;0)), 0, IF($A146-AA$129=AA$116, AA$126-SUM(AA$131:AA145), ROUND(PPMT(AA$115, $A146-AA$129, AA$116, -AA$126), -3)))</f>
        <v>0</v>
      </c>
      <c r="AB146" s="15">
        <f>IF(OR(AB$126=0, $A146-AB$129&gt;AB$116, NOT($A146-AB$129&gt;0)), 0, IF($A146-AB$129=AB$116, AB$126-SUM(AB$131:AB145), ROUND(PPMT(AB$115, $A146-AB$129, AB$116, -AB$126), -3)))</f>
        <v>0</v>
      </c>
      <c r="AC146" s="15">
        <f>IF(OR(AC$126=0, $A146-AC$129&gt;AC$116, NOT($A146-AC$129&gt;0)), 0, IF($A146-AC$129=AC$116, AC$126-SUM(AC$131:AC145), ROUND(PPMT(AC$115, $A146-AC$129, AC$116, -AC$126), -3)))</f>
        <v>0</v>
      </c>
      <c r="AD146" s="15">
        <f>IF(OR(AD$126=0, $A146-AD$129&gt;AD$116, NOT($A146-AD$129&gt;0)), 0, IF($A146-AD$129=AD$116, AD$126-SUM(AD$131:AD145), ROUND(PPMT(AD$115, $A146-AD$129, AD$116, -AD$126), -3)))</f>
        <v>0</v>
      </c>
      <c r="AE146" s="15">
        <f>IF(OR(AE$126=0, $A146-AE$129&gt;AE$116, NOT($A146-AE$129&gt;0)), 0, IF($A146-AE$129=AE$116, AE$126-SUM(AE$131:AE145), ROUND(PPMT(AE$115, $A146-AE$129, AE$116, -AE$126), -3)))</f>
        <v>0</v>
      </c>
      <c r="AF146" s="15">
        <f>IF(OR(AF$126=0, $A146-AF$129&gt;AF$116, NOT($A146-AF$129&gt;0)), 0, IF($A146-AF$129=AF$116, AF$126-SUM(AF$131:AF145), ROUND(PPMT(AF$115, $A146-AF$129, AF$116, -AF$126), -3)))</f>
        <v>0</v>
      </c>
      <c r="AG146" s="15">
        <f>IF(OR(AG$126=0, $A146-AG$129&gt;AG$116, NOT($A146-AG$129&gt;0)), 0, IF($A146-AG$129=AG$116, AG$126-SUM(AG$131:AG145), ROUND(PPMT(AG$115, $A146-AG$129, AG$116, -AG$126), -3)))</f>
        <v>0</v>
      </c>
      <c r="AH146" s="15">
        <f>IF(OR(AH$126=0, $A146-AH$129&gt;AH$116, NOT($A146-AH$129&gt;0)), 0, IF($A146-AH$129=AH$116, AH$126-SUM(AH$131:AH145), ROUND(PPMT(AH$115, $A146-AH$129, AH$116, -AH$126), -3)))</f>
        <v>0</v>
      </c>
      <c r="AI146" s="15">
        <f>IF(OR(AI$126=0, $A146-AI$129&gt;AI$116, NOT($A146-AI$129&gt;0)), 0, IF($A146-AI$129=AI$116, AI$126-SUM(AI$131:AI145), ROUND(PPMT(AI$115, $A146-AI$129, AI$116, -AI$126), -3)))</f>
        <v>0</v>
      </c>
      <c r="AJ146" s="15">
        <f>IF(OR(AJ$126=0, $A146-AJ$129&gt;AJ$116, NOT($A146-AJ$129&gt;0)), 0, IF($A146-AJ$129=AJ$116, AJ$126-SUM(AJ$131:AJ145), ROUND(PPMT(AJ$115, $A146-AJ$129, AJ$116, -AJ$126), -3)))</f>
        <v>0</v>
      </c>
      <c r="AK146" s="15">
        <f>IF(OR(AK$126=0, $A146-AK$129&gt;AK$116, NOT($A146-AK$129&gt;0)), 0, IF($A146-AK$129=AK$116, AK$126-SUM(AK$131:AK145), ROUND(PPMT(AK$115, $A146-AK$129, AK$116, -AK$126), -3)))</f>
        <v>0</v>
      </c>
      <c r="AL146" s="15">
        <f>IF(OR(AL$126=0, $A146-AL$129&gt;AL$116, NOT($A146-AL$129&gt;0)), 0, IF($A146-AL$129=AL$116, AL$126-SUM(AL$131:AL145), ROUND(PPMT(AL$115, $A146-AL$129, AL$116, -AL$126), -3)))</f>
        <v>0</v>
      </c>
      <c r="AM146" s="15">
        <f>IF(OR(AM$126=0, $A146-AM$129&gt;AM$116, NOT($A146-AM$129&gt;0)), 0, IF($A146-AM$129=AM$116, AM$126-SUM(AM$131:AM145), ROUND(PPMT(AM$115, $A146-AM$129, AM$116, -AM$126), -3)))</f>
        <v>0</v>
      </c>
    </row>
    <row r="147" spans="1:39" outlineLevel="1">
      <c r="A147" s="40">
        <f t="shared" si="105"/>
        <v>2040</v>
      </c>
      <c r="B147" s="46"/>
      <c r="C147" s="15">
        <f>IF(OR(C$126=0, $A147-C$129&gt;C$116, NOT($A147-C$129&gt;0)), 0, IF($A147-C$129=C$116, C$126-SUM(C$131:C146), ROUND(PPMT(C$115, $A147-C$129, C$116, -C$126), -3)))</f>
        <v>5122000</v>
      </c>
      <c r="D147" s="15">
        <f>IF(OR(D$126=0, $A147-D$129&gt;D$116, NOT($A147-D$129&gt;0)), 0, IF($A147-D$129=D$116, D$126-SUM(D$131:D146), ROUND(PPMT(D$115, $A147-D$129, D$116, -D$126), -3)))</f>
        <v>4855000</v>
      </c>
      <c r="E147" s="15">
        <f>IF(OR(E$126=0, $A147-E$129&gt;E$116, NOT($A147-E$129&gt;0)), 0, IF($A147-E$129=E$116, E$126-SUM(E$131:E146), ROUND(PPMT(E$115, $A147-E$129, E$116, -E$126), -3)))</f>
        <v>4602000</v>
      </c>
      <c r="F147" s="46">
        <f>IF(OR(F$126=0, $A147-F$129&gt;F$116, NOT($A147-F$129&gt;0)), 0, IF($A147-F$129=F$116, F$126-SUM(F$131:F146), ROUND(PPMT(F$115, $A147-F$129, F$116, -F$126), -3)))</f>
        <v>2983000</v>
      </c>
      <c r="G147" s="15">
        <f>IF(OR(G$126=0, $A147-G$129&gt;G$116, NOT($A147-G$129&gt;0)), 0, IF($A147-G$129=G$116, G$126-SUM(G$131:G146), ROUND(PPMT(G$115, $A147-G$129, G$116, -G$126), -3)))</f>
        <v>0</v>
      </c>
      <c r="H147" s="15">
        <f>IF(OR(H$126=0, $A147-H$129&gt;H$116, NOT($A147-H$129&gt;0)), 0, IF($A147-H$129=H$116, H$126-SUM(H$131:H146), ROUND(PPMT(H$115, $A147-H$129, H$116, -H$126), -3)))</f>
        <v>0</v>
      </c>
      <c r="I147" s="15">
        <f>IF(OR(I$126=0, $A147-I$129&gt;I$116, NOT($A147-I$129&gt;0)), 0, IF($A147-I$129=I$116, I$126-SUM(I$131:I146), ROUND(PPMT(I$115, $A147-I$129, I$116, -I$126), -3)))</f>
        <v>3048000</v>
      </c>
      <c r="J147" s="15">
        <f>IF(OR(J$126=0, $A147-J$129&gt;J$116, NOT($A147-J$129&gt;0)), 0, IF($A147-J$129=J$116, J$126-SUM(J$131:J146), ROUND(PPMT(J$115, $A147-J$129, J$116, -J$126), -3)))</f>
        <v>0</v>
      </c>
      <c r="K147" s="15">
        <f>IF(OR(K$126=0, $A147-K$129&gt;K$116, NOT($A147-K$129&gt;0)), 0, IF($A147-K$129=K$116, K$126-SUM(K$131:K146), ROUND(PPMT(K$115, $A147-K$129, K$116, -K$126), -3)))</f>
        <v>0</v>
      </c>
      <c r="L147" s="15">
        <f>IF(OR(L$126=0, $A147-L$129&gt;L$116, NOT($A147-L$129&gt;0)), 0, IF($A147-L$129=L$116, L$126-SUM(L$131:L146), ROUND(PPMT(L$115, $A147-L$129, L$116, -L$126), -3)))</f>
        <v>0</v>
      </c>
      <c r="M147" s="15">
        <f>IF(OR(M$126=0, $A147-M$129&gt;M$116, NOT($A147-M$129&gt;0)), 0, IF($A147-M$129=M$116, M$126-SUM(M$131:M146), ROUND(PPMT(M$115, $A147-M$129, M$116, -M$126), -3)))</f>
        <v>837000</v>
      </c>
      <c r="N147" s="15">
        <f>IF(OR(N$126=0, $A147-N$129&gt;N$116, NOT($A147-N$129&gt;0)), 0, IF($A147-N$129=N$116, N$126-SUM(N$131:N146), ROUND(PPMT(N$115, $A147-N$129, N$116, -N$126), -3)))</f>
        <v>0</v>
      </c>
      <c r="O147" s="15">
        <f>IF(OR(O$126=0, $A147-O$129&gt;O$116, NOT($A147-O$129&gt;0)), 0, IF($A147-O$129=O$116, O$126-SUM(O$131:O146), ROUND(PPMT(O$115, $A147-O$129, O$116, -O$126), -3)))</f>
        <v>1688000</v>
      </c>
      <c r="P147" s="15">
        <f>IF(OR(P$126=0, $A147-P$129&gt;P$116, NOT($A147-P$129&gt;0)), 0, IF($A147-P$129=P$116, P$126-SUM(P$131:P146), ROUND(PPMT(P$115, $A147-P$129, P$116, -P$126), -3)))</f>
        <v>0</v>
      </c>
      <c r="Q147" s="15">
        <f>IF(OR(Q$126=0, $A147-Q$129&gt;Q$116, NOT($A147-Q$129&gt;0)), 0, IF($A147-Q$129=Q$116, Q$126-SUM(Q$131:Q146), ROUND(PPMT(Q$115, $A147-Q$129, Q$116, -Q$126), -3)))</f>
        <v>1738000</v>
      </c>
      <c r="R147" s="15">
        <f>IF(OR(R$126=0, $A147-R$129&gt;R$116, NOT($A147-R$129&gt;0)), 0, IF($A147-R$129=R$116, R$126-SUM(R$131:R146), ROUND(PPMT(R$115, $A147-R$129, R$116, -R$126), -3)))</f>
        <v>1672000</v>
      </c>
      <c r="S147" s="15">
        <f>IF(OR(S$126=0, $A147-S$129&gt;S$116, NOT($A147-S$129&gt;0)), 0, IF($A147-S$129=S$116, S$126-SUM(S$131:S146), ROUND(PPMT(S$115, $A147-S$129, S$116, -S$126), -3)))</f>
        <v>0</v>
      </c>
      <c r="T147" s="15">
        <f>IF(OR(T$126=0, $A147-T$129&gt;T$116, NOT($A147-T$129&gt;0)), 0, IF($A147-T$129=T$116, T$126-SUM(T$131:T146), ROUND(PPMT(T$115, $A147-T$129, T$116, -T$126), -3)))</f>
        <v>0</v>
      </c>
      <c r="U147" s="15">
        <f>IF(OR(U$126=0, $A147-U$129&gt;U$116, NOT($A147-U$129&gt;0)), 0, IF($A147-U$129=U$116, U$126-SUM(U$131:U146), ROUND(PPMT(U$115, $A147-U$129, U$116, -U$126), -3)))</f>
        <v>0</v>
      </c>
      <c r="V147" s="15">
        <f>IF(OR(V$126=0, $A147-V$129&gt;V$116, NOT($A147-V$129&gt;0)), 0, IF($A147-V$129=V$116, V$126-SUM(V$131:V146), ROUND(PPMT(V$115, $A147-V$129, V$116, -V$126), -3)))</f>
        <v>0</v>
      </c>
      <c r="W147" s="15">
        <f>IF(OR(W$126=0, $A147-W$129&gt;W$116, NOT($A147-W$129&gt;0)), 0, IF($A147-W$129=W$116, W$126-SUM(W$131:W146), ROUND(PPMT(W$115, $A147-W$129, W$116, -W$126), -3)))</f>
        <v>0</v>
      </c>
      <c r="X147" s="15">
        <f>IF(OR(X$126=0, $A147-X$129&gt;X$116, NOT($A147-X$129&gt;0)), 0, IF($A147-X$129=X$116, X$126-SUM(X$131:X146), ROUND(PPMT(X$115, $A147-X$129, X$116, -X$126), -3)))</f>
        <v>0</v>
      </c>
      <c r="Y147" s="15">
        <f>IF(OR(Y$126=0, $A147-Y$129&gt;Y$116, NOT($A147-Y$129&gt;0)), 0, IF($A147-Y$129=Y$116, Y$126-SUM(Y$131:Y146), ROUND(PPMT(Y$115, $A147-Y$129, Y$116, -Y$126), -3)))</f>
        <v>0</v>
      </c>
      <c r="Z147" s="15">
        <f>IF(OR(Z$126=0, $A147-Z$129&gt;Z$116, NOT($A147-Z$129&gt;0)), 0, IF($A147-Z$129=Z$116, Z$126-SUM(Z$131:Z146), ROUND(PPMT(Z$115, $A147-Z$129, Z$116, -Z$126), -3)))</f>
        <v>0</v>
      </c>
      <c r="AA147" s="15">
        <f>IF(OR(AA$126=0, $A147-AA$129&gt;AA$116, NOT($A147-AA$129&gt;0)), 0, IF($A147-AA$129=AA$116, AA$126-SUM(AA$131:AA146), ROUND(PPMT(AA$115, $A147-AA$129, AA$116, -AA$126), -3)))</f>
        <v>0</v>
      </c>
      <c r="AB147" s="15">
        <f>IF(OR(AB$126=0, $A147-AB$129&gt;AB$116, NOT($A147-AB$129&gt;0)), 0, IF($A147-AB$129=AB$116, AB$126-SUM(AB$131:AB146), ROUND(PPMT(AB$115, $A147-AB$129, AB$116, -AB$126), -3)))</f>
        <v>0</v>
      </c>
      <c r="AC147" s="15">
        <f>IF(OR(AC$126=0, $A147-AC$129&gt;AC$116, NOT($A147-AC$129&gt;0)), 0, IF($A147-AC$129=AC$116, AC$126-SUM(AC$131:AC146), ROUND(PPMT(AC$115, $A147-AC$129, AC$116, -AC$126), -3)))</f>
        <v>0</v>
      </c>
      <c r="AD147" s="15">
        <f>IF(OR(AD$126=0, $A147-AD$129&gt;AD$116, NOT($A147-AD$129&gt;0)), 0, IF($A147-AD$129=AD$116, AD$126-SUM(AD$131:AD146), ROUND(PPMT(AD$115, $A147-AD$129, AD$116, -AD$126), -3)))</f>
        <v>0</v>
      </c>
      <c r="AE147" s="15">
        <f>IF(OR(AE$126=0, $A147-AE$129&gt;AE$116, NOT($A147-AE$129&gt;0)), 0, IF($A147-AE$129=AE$116, AE$126-SUM(AE$131:AE146), ROUND(PPMT(AE$115, $A147-AE$129, AE$116, -AE$126), -3)))</f>
        <v>0</v>
      </c>
      <c r="AF147" s="15">
        <f>IF(OR(AF$126=0, $A147-AF$129&gt;AF$116, NOT($A147-AF$129&gt;0)), 0, IF($A147-AF$129=AF$116, AF$126-SUM(AF$131:AF146), ROUND(PPMT(AF$115, $A147-AF$129, AF$116, -AF$126), -3)))</f>
        <v>0</v>
      </c>
      <c r="AG147" s="15">
        <f>IF(OR(AG$126=0, $A147-AG$129&gt;AG$116, NOT($A147-AG$129&gt;0)), 0, IF($A147-AG$129=AG$116, AG$126-SUM(AG$131:AG146), ROUND(PPMT(AG$115, $A147-AG$129, AG$116, -AG$126), -3)))</f>
        <v>0</v>
      </c>
      <c r="AH147" s="15">
        <f>IF(OR(AH$126=0, $A147-AH$129&gt;AH$116, NOT($A147-AH$129&gt;0)), 0, IF($A147-AH$129=AH$116, AH$126-SUM(AH$131:AH146), ROUND(PPMT(AH$115, $A147-AH$129, AH$116, -AH$126), -3)))</f>
        <v>0</v>
      </c>
      <c r="AI147" s="15">
        <f>IF(OR(AI$126=0, $A147-AI$129&gt;AI$116, NOT($A147-AI$129&gt;0)), 0, IF($A147-AI$129=AI$116, AI$126-SUM(AI$131:AI146), ROUND(PPMT(AI$115, $A147-AI$129, AI$116, -AI$126), -3)))</f>
        <v>0</v>
      </c>
      <c r="AJ147" s="15">
        <f>IF(OR(AJ$126=0, $A147-AJ$129&gt;AJ$116, NOT($A147-AJ$129&gt;0)), 0, IF($A147-AJ$129=AJ$116, AJ$126-SUM(AJ$131:AJ146), ROUND(PPMT(AJ$115, $A147-AJ$129, AJ$116, -AJ$126), -3)))</f>
        <v>0</v>
      </c>
      <c r="AK147" s="15">
        <f>IF(OR(AK$126=0, $A147-AK$129&gt;AK$116, NOT($A147-AK$129&gt;0)), 0, IF($A147-AK$129=AK$116, AK$126-SUM(AK$131:AK146), ROUND(PPMT(AK$115, $A147-AK$129, AK$116, -AK$126), -3)))</f>
        <v>0</v>
      </c>
      <c r="AL147" s="15">
        <f>IF(OR(AL$126=0, $A147-AL$129&gt;AL$116, NOT($A147-AL$129&gt;0)), 0, IF($A147-AL$129=AL$116, AL$126-SUM(AL$131:AL146), ROUND(PPMT(AL$115, $A147-AL$129, AL$116, -AL$126), -3)))</f>
        <v>0</v>
      </c>
      <c r="AM147" s="15">
        <f>IF(OR(AM$126=0, $A147-AM$129&gt;AM$116, NOT($A147-AM$129&gt;0)), 0, IF($A147-AM$129=AM$116, AM$126-SUM(AM$131:AM146), ROUND(PPMT(AM$115, $A147-AM$129, AM$116, -AM$126), -3)))</f>
        <v>0</v>
      </c>
    </row>
    <row r="148" spans="1:39" outlineLevel="1">
      <c r="A148" s="40">
        <f t="shared" si="105"/>
        <v>2041</v>
      </c>
      <c r="B148" s="46"/>
      <c r="C148" s="15">
        <f>IF(OR(C$126=0, $A148-C$129&gt;C$116, NOT($A148-C$129&gt;0)), 0, IF($A148-C$129=C$116, C$126-SUM(C$131:C147), ROUND(PPMT(C$115, $A148-C$129, C$116, -C$126), -3)))</f>
        <v>5404000</v>
      </c>
      <c r="D148" s="15">
        <f>IF(OR(D$126=0, $A148-D$129&gt;D$116, NOT($A148-D$129&gt;0)), 0, IF($A148-D$129=D$116, D$126-SUM(D$131:D147), ROUND(PPMT(D$115, $A148-D$129, D$116, -D$126), -3)))</f>
        <v>5122000</v>
      </c>
      <c r="E148" s="15">
        <f>IF(OR(E$126=0, $A148-E$129&gt;E$116, NOT($A148-E$129&gt;0)), 0, IF($A148-E$129=E$116, E$126-SUM(E$131:E147), ROUND(PPMT(E$115, $A148-E$129, E$116, -E$126), -3)))</f>
        <v>4855000</v>
      </c>
      <c r="F148" s="46">
        <f>IF(OR(F$126=0, $A148-F$129&gt;F$116, NOT($A148-F$129&gt;0)), 0, IF($A148-F$129=F$116, F$126-SUM(F$131:F147), ROUND(PPMT(F$115, $A148-F$129, F$116, -F$126), -3)))</f>
        <v>3147000</v>
      </c>
      <c r="G148" s="15">
        <f>IF(OR(G$126=0, $A148-G$129&gt;G$116, NOT($A148-G$129&gt;0)), 0, IF($A148-G$129=G$116, G$126-SUM(G$131:G147), ROUND(PPMT(G$115, $A148-G$129, G$116, -G$126), -3)))</f>
        <v>0</v>
      </c>
      <c r="H148" s="15">
        <f>IF(OR(H$126=0, $A148-H$129&gt;H$116, NOT($A148-H$129&gt;0)), 0, IF($A148-H$129=H$116, H$126-SUM(H$131:H147), ROUND(PPMT(H$115, $A148-H$129, H$116, -H$126), -3)))</f>
        <v>0</v>
      </c>
      <c r="I148" s="15">
        <f>IF(OR(I$126=0, $A148-I$129&gt;I$116, NOT($A148-I$129&gt;0)), 0, IF($A148-I$129=I$116, I$126-SUM(I$131:I147), ROUND(PPMT(I$115, $A148-I$129, I$116, -I$126), -3)))</f>
        <v>3216000</v>
      </c>
      <c r="J148" s="15">
        <f>IF(OR(J$126=0, $A148-J$129&gt;J$116, NOT($A148-J$129&gt;0)), 0, IF($A148-J$129=J$116, J$126-SUM(J$131:J147), ROUND(PPMT(J$115, $A148-J$129, J$116, -J$126), -3)))</f>
        <v>0</v>
      </c>
      <c r="K148" s="15">
        <f>IF(OR(K$126=0, $A148-K$129&gt;K$116, NOT($A148-K$129&gt;0)), 0, IF($A148-K$129=K$116, K$126-SUM(K$131:K147), ROUND(PPMT(K$115, $A148-K$129, K$116, -K$126), -3)))</f>
        <v>0</v>
      </c>
      <c r="L148" s="15">
        <f>IF(OR(L$126=0, $A148-L$129&gt;L$116, NOT($A148-L$129&gt;0)), 0, IF($A148-L$129=L$116, L$126-SUM(L$131:L147), ROUND(PPMT(L$115, $A148-L$129, L$116, -L$126), -3)))</f>
        <v>0</v>
      </c>
      <c r="M148" s="15">
        <f>IF(OR(M$126=0, $A148-M$129&gt;M$116, NOT($A148-M$129&gt;0)), 0, IF($A148-M$129=M$116, M$126-SUM(M$131:M147), ROUND(PPMT(M$115, $A148-M$129, M$116, -M$126), -3)))</f>
        <v>883000</v>
      </c>
      <c r="N148" s="15">
        <f>IF(OR(N$126=0, $A148-N$129&gt;N$116, NOT($A148-N$129&gt;0)), 0, IF($A148-N$129=N$116, N$126-SUM(N$131:N147), ROUND(PPMT(N$115, $A148-N$129, N$116, -N$126), -3)))</f>
        <v>0</v>
      </c>
      <c r="O148" s="15">
        <f>IF(OR(O$126=0, $A148-O$129&gt;O$116, NOT($A148-O$129&gt;0)), 0, IF($A148-O$129=O$116, O$126-SUM(O$131:O147), ROUND(PPMT(O$115, $A148-O$129, O$116, -O$126), -3)))</f>
        <v>1781000</v>
      </c>
      <c r="P148" s="15">
        <f>IF(OR(P$126=0, $A148-P$129&gt;P$116, NOT($A148-P$129&gt;0)), 0, IF($A148-P$129=P$116, P$126-SUM(P$131:P147), ROUND(PPMT(P$115, $A148-P$129, P$116, -P$126), -3)))</f>
        <v>0</v>
      </c>
      <c r="Q148" s="15">
        <f>IF(OR(Q$126=0, $A148-Q$129&gt;Q$116, NOT($A148-Q$129&gt;0)), 0, IF($A148-Q$129=Q$116, Q$126-SUM(Q$131:Q147), ROUND(PPMT(Q$115, $A148-Q$129, Q$116, -Q$126), -3)))</f>
        <v>1833000</v>
      </c>
      <c r="R148" s="15">
        <f>IF(OR(R$126=0, $A148-R$129&gt;R$116, NOT($A148-R$129&gt;0)), 0, IF($A148-R$129=R$116, R$126-SUM(R$131:R147), ROUND(PPMT(R$115, $A148-R$129, R$116, -R$126), -3)))</f>
        <v>1764000</v>
      </c>
      <c r="S148" s="15">
        <f>IF(OR(S$126=0, $A148-S$129&gt;S$116, NOT($A148-S$129&gt;0)), 0, IF($A148-S$129=S$116, S$126-SUM(S$131:S147), ROUND(PPMT(S$115, $A148-S$129, S$116, -S$126), -3)))</f>
        <v>1782000</v>
      </c>
      <c r="T148" s="15">
        <f>IF(OR(T$126=0, $A148-T$129&gt;T$116, NOT($A148-T$129&gt;0)), 0, IF($A148-T$129=T$116, T$126-SUM(T$131:T147), ROUND(PPMT(T$115, $A148-T$129, T$116, -T$126), -3)))</f>
        <v>0</v>
      </c>
      <c r="U148" s="15">
        <f>IF(OR(U$126=0, $A148-U$129&gt;U$116, NOT($A148-U$129&gt;0)), 0, IF($A148-U$129=U$116, U$126-SUM(U$131:U147), ROUND(PPMT(U$115, $A148-U$129, U$116, -U$126), -3)))</f>
        <v>0</v>
      </c>
      <c r="V148" s="15">
        <f>IF(OR(V$126=0, $A148-V$129&gt;V$116, NOT($A148-V$129&gt;0)), 0, IF($A148-V$129=V$116, V$126-SUM(V$131:V147), ROUND(PPMT(V$115, $A148-V$129, V$116, -V$126), -3)))</f>
        <v>0</v>
      </c>
      <c r="W148" s="15">
        <f>IF(OR(W$126=0, $A148-W$129&gt;W$116, NOT($A148-W$129&gt;0)), 0, IF($A148-W$129=W$116, W$126-SUM(W$131:W147), ROUND(PPMT(W$115, $A148-W$129, W$116, -W$126), -3)))</f>
        <v>0</v>
      </c>
      <c r="X148" s="15">
        <f>IF(OR(X$126=0, $A148-X$129&gt;X$116, NOT($A148-X$129&gt;0)), 0, IF($A148-X$129=X$116, X$126-SUM(X$131:X147), ROUND(PPMT(X$115, $A148-X$129, X$116, -X$126), -3)))</f>
        <v>0</v>
      </c>
      <c r="Y148" s="15">
        <f>IF(OR(Y$126=0, $A148-Y$129&gt;Y$116, NOT($A148-Y$129&gt;0)), 0, IF($A148-Y$129=Y$116, Y$126-SUM(Y$131:Y147), ROUND(PPMT(Y$115, $A148-Y$129, Y$116, -Y$126), -3)))</f>
        <v>0</v>
      </c>
      <c r="Z148" s="15">
        <f>IF(OR(Z$126=0, $A148-Z$129&gt;Z$116, NOT($A148-Z$129&gt;0)), 0, IF($A148-Z$129=Z$116, Z$126-SUM(Z$131:Z147), ROUND(PPMT(Z$115, $A148-Z$129, Z$116, -Z$126), -3)))</f>
        <v>0</v>
      </c>
      <c r="AA148" s="15">
        <f>IF(OR(AA$126=0, $A148-AA$129&gt;AA$116, NOT($A148-AA$129&gt;0)), 0, IF($A148-AA$129=AA$116, AA$126-SUM(AA$131:AA147), ROUND(PPMT(AA$115, $A148-AA$129, AA$116, -AA$126), -3)))</f>
        <v>0</v>
      </c>
      <c r="AB148" s="15">
        <f>IF(OR(AB$126=0, $A148-AB$129&gt;AB$116, NOT($A148-AB$129&gt;0)), 0, IF($A148-AB$129=AB$116, AB$126-SUM(AB$131:AB147), ROUND(PPMT(AB$115, $A148-AB$129, AB$116, -AB$126), -3)))</f>
        <v>0</v>
      </c>
      <c r="AC148" s="15">
        <f>IF(OR(AC$126=0, $A148-AC$129&gt;AC$116, NOT($A148-AC$129&gt;0)), 0, IF($A148-AC$129=AC$116, AC$126-SUM(AC$131:AC147), ROUND(PPMT(AC$115, $A148-AC$129, AC$116, -AC$126), -3)))</f>
        <v>0</v>
      </c>
      <c r="AD148" s="15">
        <f>IF(OR(AD$126=0, $A148-AD$129&gt;AD$116, NOT($A148-AD$129&gt;0)), 0, IF($A148-AD$129=AD$116, AD$126-SUM(AD$131:AD147), ROUND(PPMT(AD$115, $A148-AD$129, AD$116, -AD$126), -3)))</f>
        <v>0</v>
      </c>
      <c r="AE148" s="15">
        <f>IF(OR(AE$126=0, $A148-AE$129&gt;AE$116, NOT($A148-AE$129&gt;0)), 0, IF($A148-AE$129=AE$116, AE$126-SUM(AE$131:AE147), ROUND(PPMT(AE$115, $A148-AE$129, AE$116, -AE$126), -3)))</f>
        <v>0</v>
      </c>
      <c r="AF148" s="15">
        <f>IF(OR(AF$126=0, $A148-AF$129&gt;AF$116, NOT($A148-AF$129&gt;0)), 0, IF($A148-AF$129=AF$116, AF$126-SUM(AF$131:AF147), ROUND(PPMT(AF$115, $A148-AF$129, AF$116, -AF$126), -3)))</f>
        <v>0</v>
      </c>
      <c r="AG148" s="15">
        <f>IF(OR(AG$126=0, $A148-AG$129&gt;AG$116, NOT($A148-AG$129&gt;0)), 0, IF($A148-AG$129=AG$116, AG$126-SUM(AG$131:AG147), ROUND(PPMT(AG$115, $A148-AG$129, AG$116, -AG$126), -3)))</f>
        <v>0</v>
      </c>
      <c r="AH148" s="15">
        <f>IF(OR(AH$126=0, $A148-AH$129&gt;AH$116, NOT($A148-AH$129&gt;0)), 0, IF($A148-AH$129=AH$116, AH$126-SUM(AH$131:AH147), ROUND(PPMT(AH$115, $A148-AH$129, AH$116, -AH$126), -3)))</f>
        <v>0</v>
      </c>
      <c r="AI148" s="15">
        <f>IF(OR(AI$126=0, $A148-AI$129&gt;AI$116, NOT($A148-AI$129&gt;0)), 0, IF($A148-AI$129=AI$116, AI$126-SUM(AI$131:AI147), ROUND(PPMT(AI$115, $A148-AI$129, AI$116, -AI$126), -3)))</f>
        <v>0</v>
      </c>
      <c r="AJ148" s="15">
        <f>IF(OR(AJ$126=0, $A148-AJ$129&gt;AJ$116, NOT($A148-AJ$129&gt;0)), 0, IF($A148-AJ$129=AJ$116, AJ$126-SUM(AJ$131:AJ147), ROUND(PPMT(AJ$115, $A148-AJ$129, AJ$116, -AJ$126), -3)))</f>
        <v>0</v>
      </c>
      <c r="AK148" s="15">
        <f>IF(OR(AK$126=0, $A148-AK$129&gt;AK$116, NOT($A148-AK$129&gt;0)), 0, IF($A148-AK$129=AK$116, AK$126-SUM(AK$131:AK147), ROUND(PPMT(AK$115, $A148-AK$129, AK$116, -AK$126), -3)))</f>
        <v>0</v>
      </c>
      <c r="AL148" s="15">
        <f>IF(OR(AL$126=0, $A148-AL$129&gt;AL$116, NOT($A148-AL$129&gt;0)), 0, IF($A148-AL$129=AL$116, AL$126-SUM(AL$131:AL147), ROUND(PPMT(AL$115, $A148-AL$129, AL$116, -AL$126), -3)))</f>
        <v>0</v>
      </c>
      <c r="AM148" s="15">
        <f>IF(OR(AM$126=0, $A148-AM$129&gt;AM$116, NOT($A148-AM$129&gt;0)), 0, IF($A148-AM$129=AM$116, AM$126-SUM(AM$131:AM147), ROUND(PPMT(AM$115, $A148-AM$129, AM$116, -AM$126), -3)))</f>
        <v>0</v>
      </c>
    </row>
    <row r="149" spans="1:39" outlineLevel="1">
      <c r="A149" s="40">
        <f t="shared" si="105"/>
        <v>2042</v>
      </c>
      <c r="B149" s="46"/>
      <c r="C149" s="15">
        <f>IF(OR(C$126=0, $A149-C$129&gt;C$116, NOT($A149-C$129&gt;0)), 0, IF($A149-C$129=C$116, C$126-SUM(C$131:C148), ROUND(PPMT(C$115, $A149-C$129, C$116, -C$126), -3)))</f>
        <v>5701000</v>
      </c>
      <c r="D149" s="15">
        <f>IF(OR(D$126=0, $A149-D$129&gt;D$116, NOT($A149-D$129&gt;0)), 0, IF($A149-D$129=D$116, D$126-SUM(D$131:D148), ROUND(PPMT(D$115, $A149-D$129, D$116, -D$126), -3)))</f>
        <v>5404000</v>
      </c>
      <c r="E149" s="15">
        <f>IF(OR(E$126=0, $A149-E$129&gt;E$116, NOT($A149-E$129&gt;0)), 0, IF($A149-E$129=E$116, E$126-SUM(E$131:E148), ROUND(PPMT(E$115, $A149-E$129, E$116, -E$126), -3)))</f>
        <v>5122000</v>
      </c>
      <c r="F149" s="46">
        <f>IF(OR(F$126=0, $A149-F$129&gt;F$116, NOT($A149-F$129&gt;0)), 0, IF($A149-F$129=F$116, F$126-SUM(F$131:F148), ROUND(PPMT(F$115, $A149-F$129, F$116, -F$126), -3)))</f>
        <v>3320000</v>
      </c>
      <c r="G149" s="15">
        <f>IF(OR(G$126=0, $A149-G$129&gt;G$116, NOT($A149-G$129&gt;0)), 0, IF($A149-G$129=G$116, G$126-SUM(G$131:G148), ROUND(PPMT(G$115, $A149-G$129, G$116, -G$126), -3)))</f>
        <v>0</v>
      </c>
      <c r="H149" s="15">
        <f>IF(OR(H$126=0, $A149-H$129&gt;H$116, NOT($A149-H$129&gt;0)), 0, IF($A149-H$129=H$116, H$126-SUM(H$131:H148), ROUND(PPMT(H$115, $A149-H$129, H$116, -H$126), -3)))</f>
        <v>0</v>
      </c>
      <c r="I149" s="15">
        <f>IF(OR(I$126=0, $A149-I$129&gt;I$116, NOT($A149-I$129&gt;0)), 0, IF($A149-I$129=I$116, I$126-SUM(I$131:I148), ROUND(PPMT(I$115, $A149-I$129, I$116, -I$126), -3)))</f>
        <v>3393000</v>
      </c>
      <c r="J149" s="15">
        <f>IF(OR(J$126=0, $A149-J$129&gt;J$116, NOT($A149-J$129&gt;0)), 0, IF($A149-J$129=J$116, J$126-SUM(J$131:J148), ROUND(PPMT(J$115, $A149-J$129, J$116, -J$126), -3)))</f>
        <v>0</v>
      </c>
      <c r="K149" s="15">
        <f>IF(OR(K$126=0, $A149-K$129&gt;K$116, NOT($A149-K$129&gt;0)), 0, IF($A149-K$129=K$116, K$126-SUM(K$131:K148), ROUND(PPMT(K$115, $A149-K$129, K$116, -K$126), -3)))</f>
        <v>0</v>
      </c>
      <c r="L149" s="15">
        <f>IF(OR(L$126=0, $A149-L$129&gt;L$116, NOT($A149-L$129&gt;0)), 0, IF($A149-L$129=L$116, L$126-SUM(L$131:L148), ROUND(PPMT(L$115, $A149-L$129, L$116, -L$126), -3)))</f>
        <v>0</v>
      </c>
      <c r="M149" s="15">
        <f>IF(OR(M$126=0, $A149-M$129&gt;M$116, NOT($A149-M$129&gt;0)), 0, IF($A149-M$129=M$116, M$126-SUM(M$131:M148), ROUND(PPMT(M$115, $A149-M$129, M$116, -M$126), -3)))</f>
        <v>932000</v>
      </c>
      <c r="N149" s="15">
        <f>IF(OR(N$126=0, $A149-N$129&gt;N$116, NOT($A149-N$129&gt;0)), 0, IF($A149-N$129=N$116, N$126-SUM(N$131:N148), ROUND(PPMT(N$115, $A149-N$129, N$116, -N$126), -3)))</f>
        <v>0</v>
      </c>
      <c r="O149" s="15">
        <f>IF(OR(O$126=0, $A149-O$129&gt;O$116, NOT($A149-O$129&gt;0)), 0, IF($A149-O$129=O$116, O$126-SUM(O$131:O148), ROUND(PPMT(O$115, $A149-O$129, O$116, -O$126), -3)))</f>
        <v>1879000</v>
      </c>
      <c r="P149" s="15">
        <f>IF(OR(P$126=0, $A149-P$129&gt;P$116, NOT($A149-P$129&gt;0)), 0, IF($A149-P$129=P$116, P$126-SUM(P$131:P148), ROUND(PPMT(P$115, $A149-P$129, P$116, -P$126), -3)))</f>
        <v>0</v>
      </c>
      <c r="Q149" s="15">
        <f>IF(OR(Q$126=0, $A149-Q$129&gt;Q$116, NOT($A149-Q$129&gt;0)), 0, IF($A149-Q$129=Q$116, Q$126-SUM(Q$131:Q148), ROUND(PPMT(Q$115, $A149-Q$129, Q$116, -Q$126), -3)))</f>
        <v>1934000</v>
      </c>
      <c r="R149" s="15">
        <f>IF(OR(R$126=0, $A149-R$129&gt;R$116, NOT($A149-R$129&gt;0)), 0, IF($A149-R$129=R$116, R$126-SUM(R$131:R148), ROUND(PPMT(R$115, $A149-R$129, R$116, -R$126), -3)))</f>
        <v>1861000</v>
      </c>
      <c r="S149" s="15">
        <f>IF(OR(S$126=0, $A149-S$129&gt;S$116, NOT($A149-S$129&gt;0)), 0, IF($A149-S$129=S$116, S$126-SUM(S$131:S148), ROUND(PPMT(S$115, $A149-S$129, S$116, -S$126), -3)))</f>
        <v>1880000</v>
      </c>
      <c r="T149" s="15">
        <f>IF(OR(T$126=0, $A149-T$129&gt;T$116, NOT($A149-T$129&gt;0)), 0, IF($A149-T$129=T$116, T$126-SUM(T$131:T148), ROUND(PPMT(T$115, $A149-T$129, T$116, -T$126), -3)))</f>
        <v>1844000</v>
      </c>
      <c r="U149" s="15">
        <f>IF(OR(U$126=0, $A149-U$129&gt;U$116, NOT($A149-U$129&gt;0)), 0, IF($A149-U$129=U$116, U$126-SUM(U$131:U148), ROUND(PPMT(U$115, $A149-U$129, U$116, -U$126), -3)))</f>
        <v>0</v>
      </c>
      <c r="V149" s="15">
        <f>IF(OR(V$126=0, $A149-V$129&gt;V$116, NOT($A149-V$129&gt;0)), 0, IF($A149-V$129=V$116, V$126-SUM(V$131:V148), ROUND(PPMT(V$115, $A149-V$129, V$116, -V$126), -3)))</f>
        <v>0</v>
      </c>
      <c r="W149" s="15">
        <f>IF(OR(W$126=0, $A149-W$129&gt;W$116, NOT($A149-W$129&gt;0)), 0, IF($A149-W$129=W$116, W$126-SUM(W$131:W148), ROUND(PPMT(W$115, $A149-W$129, W$116, -W$126), -3)))</f>
        <v>0</v>
      </c>
      <c r="X149" s="15">
        <f>IF(OR(X$126=0, $A149-X$129&gt;X$116, NOT($A149-X$129&gt;0)), 0, IF($A149-X$129=X$116, X$126-SUM(X$131:X148), ROUND(PPMT(X$115, $A149-X$129, X$116, -X$126), -3)))</f>
        <v>0</v>
      </c>
      <c r="Y149" s="15">
        <f>IF(OR(Y$126=0, $A149-Y$129&gt;Y$116, NOT($A149-Y$129&gt;0)), 0, IF($A149-Y$129=Y$116, Y$126-SUM(Y$131:Y148), ROUND(PPMT(Y$115, $A149-Y$129, Y$116, -Y$126), -3)))</f>
        <v>0</v>
      </c>
      <c r="Z149" s="15">
        <f>IF(OR(Z$126=0, $A149-Z$129&gt;Z$116, NOT($A149-Z$129&gt;0)), 0, IF($A149-Z$129=Z$116, Z$126-SUM(Z$131:Z148), ROUND(PPMT(Z$115, $A149-Z$129, Z$116, -Z$126), -3)))</f>
        <v>0</v>
      </c>
      <c r="AA149" s="15">
        <f>IF(OR(AA$126=0, $A149-AA$129&gt;AA$116, NOT($A149-AA$129&gt;0)), 0, IF($A149-AA$129=AA$116, AA$126-SUM(AA$131:AA148), ROUND(PPMT(AA$115, $A149-AA$129, AA$116, -AA$126), -3)))</f>
        <v>0</v>
      </c>
      <c r="AB149" s="15">
        <f>IF(OR(AB$126=0, $A149-AB$129&gt;AB$116, NOT($A149-AB$129&gt;0)), 0, IF($A149-AB$129=AB$116, AB$126-SUM(AB$131:AB148), ROUND(PPMT(AB$115, $A149-AB$129, AB$116, -AB$126), -3)))</f>
        <v>0</v>
      </c>
      <c r="AC149" s="15">
        <f>IF(OR(AC$126=0, $A149-AC$129&gt;AC$116, NOT($A149-AC$129&gt;0)), 0, IF($A149-AC$129=AC$116, AC$126-SUM(AC$131:AC148), ROUND(PPMT(AC$115, $A149-AC$129, AC$116, -AC$126), -3)))</f>
        <v>0</v>
      </c>
      <c r="AD149" s="15">
        <f>IF(OR(AD$126=0, $A149-AD$129&gt;AD$116, NOT($A149-AD$129&gt;0)), 0, IF($A149-AD$129=AD$116, AD$126-SUM(AD$131:AD148), ROUND(PPMT(AD$115, $A149-AD$129, AD$116, -AD$126), -3)))</f>
        <v>0</v>
      </c>
      <c r="AE149" s="15">
        <f>IF(OR(AE$126=0, $A149-AE$129&gt;AE$116, NOT($A149-AE$129&gt;0)), 0, IF($A149-AE$129=AE$116, AE$126-SUM(AE$131:AE148), ROUND(PPMT(AE$115, $A149-AE$129, AE$116, -AE$126), -3)))</f>
        <v>0</v>
      </c>
      <c r="AF149" s="15">
        <f>IF(OR(AF$126=0, $A149-AF$129&gt;AF$116, NOT($A149-AF$129&gt;0)), 0, IF($A149-AF$129=AF$116, AF$126-SUM(AF$131:AF148), ROUND(PPMT(AF$115, $A149-AF$129, AF$116, -AF$126), -3)))</f>
        <v>0</v>
      </c>
      <c r="AG149" s="15">
        <f>IF(OR(AG$126=0, $A149-AG$129&gt;AG$116, NOT($A149-AG$129&gt;0)), 0, IF($A149-AG$129=AG$116, AG$126-SUM(AG$131:AG148), ROUND(PPMT(AG$115, $A149-AG$129, AG$116, -AG$126), -3)))</f>
        <v>0</v>
      </c>
      <c r="AH149" s="15">
        <f>IF(OR(AH$126=0, $A149-AH$129&gt;AH$116, NOT($A149-AH$129&gt;0)), 0, IF($A149-AH$129=AH$116, AH$126-SUM(AH$131:AH148), ROUND(PPMT(AH$115, $A149-AH$129, AH$116, -AH$126), -3)))</f>
        <v>0</v>
      </c>
      <c r="AI149" s="15">
        <f>IF(OR(AI$126=0, $A149-AI$129&gt;AI$116, NOT($A149-AI$129&gt;0)), 0, IF($A149-AI$129=AI$116, AI$126-SUM(AI$131:AI148), ROUND(PPMT(AI$115, $A149-AI$129, AI$116, -AI$126), -3)))</f>
        <v>0</v>
      </c>
      <c r="AJ149" s="15">
        <f>IF(OR(AJ$126=0, $A149-AJ$129&gt;AJ$116, NOT($A149-AJ$129&gt;0)), 0, IF($A149-AJ$129=AJ$116, AJ$126-SUM(AJ$131:AJ148), ROUND(PPMT(AJ$115, $A149-AJ$129, AJ$116, -AJ$126), -3)))</f>
        <v>0</v>
      </c>
      <c r="AK149" s="15">
        <f>IF(OR(AK$126=0, $A149-AK$129&gt;AK$116, NOT($A149-AK$129&gt;0)), 0, IF($A149-AK$129=AK$116, AK$126-SUM(AK$131:AK148), ROUND(PPMT(AK$115, $A149-AK$129, AK$116, -AK$126), -3)))</f>
        <v>0</v>
      </c>
      <c r="AL149" s="15">
        <f>IF(OR(AL$126=0, $A149-AL$129&gt;AL$116, NOT($A149-AL$129&gt;0)), 0, IF($A149-AL$129=AL$116, AL$126-SUM(AL$131:AL148), ROUND(PPMT(AL$115, $A149-AL$129, AL$116, -AL$126), -3)))</f>
        <v>0</v>
      </c>
      <c r="AM149" s="15">
        <f>IF(OR(AM$126=0, $A149-AM$129&gt;AM$116, NOT($A149-AM$129&gt;0)), 0, IF($A149-AM$129=AM$116, AM$126-SUM(AM$131:AM148), ROUND(PPMT(AM$115, $A149-AM$129, AM$116, -AM$126), -3)))</f>
        <v>0</v>
      </c>
    </row>
    <row r="150" spans="1:39" outlineLevel="1">
      <c r="A150" s="40">
        <f t="shared" si="105"/>
        <v>2043</v>
      </c>
      <c r="B150" s="46"/>
      <c r="C150" s="15">
        <f>IF(OR(C$126=0, $A150-C$129&gt;C$116, NOT($A150-C$129&gt;0)), 0, IF($A150-C$129=C$116, C$126-SUM(C$131:C149), ROUND(PPMT(C$115, $A150-C$129, C$116, -C$126), -3)))</f>
        <v>6015000</v>
      </c>
      <c r="D150" s="15">
        <f>IF(OR(D$126=0, $A150-D$129&gt;D$116, NOT($A150-D$129&gt;0)), 0, IF($A150-D$129=D$116, D$126-SUM(D$131:D149), ROUND(PPMT(D$115, $A150-D$129, D$116, -D$126), -3)))</f>
        <v>5701000</v>
      </c>
      <c r="E150" s="15">
        <f>IF(OR(E$126=0, $A150-E$129&gt;E$116, NOT($A150-E$129&gt;0)), 0, IF($A150-E$129=E$116, E$126-SUM(E$131:E149), ROUND(PPMT(E$115, $A150-E$129, E$116, -E$126), -3)))</f>
        <v>5404000</v>
      </c>
      <c r="F150" s="46">
        <f>IF(OR(F$126=0, $A150-F$129&gt;F$116, NOT($A150-F$129&gt;0)), 0, IF($A150-F$129=F$116, F$126-SUM(F$131:F149), ROUND(PPMT(F$115, $A150-F$129, F$116, -F$126), -3)))</f>
        <v>3503000</v>
      </c>
      <c r="G150" s="15">
        <f>IF(OR(G$126=0, $A150-G$129&gt;G$116, NOT($A150-G$129&gt;0)), 0, IF($A150-G$129=G$116, G$126-SUM(G$131:G149), ROUND(PPMT(G$115, $A150-G$129, G$116, -G$126), -3)))</f>
        <v>0</v>
      </c>
      <c r="H150" s="15">
        <f>IF(OR(H$126=0, $A150-H$129&gt;H$116, NOT($A150-H$129&gt;0)), 0, IF($A150-H$129=H$116, H$126-SUM(H$131:H149), ROUND(PPMT(H$115, $A150-H$129, H$116, -H$126), -3)))</f>
        <v>0</v>
      </c>
      <c r="I150" s="15">
        <f>IF(OR(I$126=0, $A150-I$129&gt;I$116, NOT($A150-I$129&gt;0)), 0, IF($A150-I$129=I$116, I$126-SUM(I$131:I149), ROUND(PPMT(I$115, $A150-I$129, I$116, -I$126), -3)))</f>
        <v>3579000</v>
      </c>
      <c r="J150" s="15">
        <f>IF(OR(J$126=0, $A150-J$129&gt;J$116, NOT($A150-J$129&gt;0)), 0, IF($A150-J$129=J$116, J$126-SUM(J$131:J149), ROUND(PPMT(J$115, $A150-J$129, J$116, -J$126), -3)))</f>
        <v>0</v>
      </c>
      <c r="K150" s="15">
        <f>IF(OR(K$126=0, $A150-K$129&gt;K$116, NOT($A150-K$129&gt;0)), 0, IF($A150-K$129=K$116, K$126-SUM(K$131:K149), ROUND(PPMT(K$115, $A150-K$129, K$116, -K$126), -3)))</f>
        <v>0</v>
      </c>
      <c r="L150" s="15">
        <f>IF(OR(L$126=0, $A150-L$129&gt;L$116, NOT($A150-L$129&gt;0)), 0, IF($A150-L$129=L$116, L$126-SUM(L$131:L149), ROUND(PPMT(L$115, $A150-L$129, L$116, -L$126), -3)))</f>
        <v>0</v>
      </c>
      <c r="M150" s="15">
        <f>IF(OR(M$126=0, $A150-M$129&gt;M$116, NOT($A150-M$129&gt;0)), 0, IF($A150-M$129=M$116, M$126-SUM(M$131:M149), ROUND(PPMT(M$115, $A150-M$129, M$116, -M$126), -3)))</f>
        <v>983000</v>
      </c>
      <c r="N150" s="15">
        <f>IF(OR(N$126=0, $A150-N$129&gt;N$116, NOT($A150-N$129&gt;0)), 0, IF($A150-N$129=N$116, N$126-SUM(N$131:N149), ROUND(PPMT(N$115, $A150-N$129, N$116, -N$126), -3)))</f>
        <v>0</v>
      </c>
      <c r="O150" s="15">
        <f>IF(OR(O$126=0, $A150-O$129&gt;O$116, NOT($A150-O$129&gt;0)), 0, IF($A150-O$129=O$116, O$126-SUM(O$131:O149), ROUND(PPMT(O$115, $A150-O$129, O$116, -O$126), -3)))</f>
        <v>1982000</v>
      </c>
      <c r="P150" s="15">
        <f>IF(OR(P$126=0, $A150-P$129&gt;P$116, NOT($A150-P$129&gt;0)), 0, IF($A150-P$129=P$116, P$126-SUM(P$131:P149), ROUND(PPMT(P$115, $A150-P$129, P$116, -P$126), -3)))</f>
        <v>0</v>
      </c>
      <c r="Q150" s="15">
        <f>IF(OR(Q$126=0, $A150-Q$129&gt;Q$116, NOT($A150-Q$129&gt;0)), 0, IF($A150-Q$129=Q$116, Q$126-SUM(Q$131:Q149), ROUND(PPMT(Q$115, $A150-Q$129, Q$116, -Q$126), -3)))</f>
        <v>2041000</v>
      </c>
      <c r="R150" s="15">
        <f>IF(OR(R$126=0, $A150-R$129&gt;R$116, NOT($A150-R$129&gt;0)), 0, IF($A150-R$129=R$116, R$126-SUM(R$131:R149), ROUND(PPMT(R$115, $A150-R$129, R$116, -R$126), -3)))</f>
        <v>1963000</v>
      </c>
      <c r="S150" s="15">
        <f>IF(OR(S$126=0, $A150-S$129&gt;S$116, NOT($A150-S$129&gt;0)), 0, IF($A150-S$129=S$116, S$126-SUM(S$131:S149), ROUND(PPMT(S$115, $A150-S$129, S$116, -S$126), -3)))</f>
        <v>1984000</v>
      </c>
      <c r="T150" s="15">
        <f>IF(OR(T$126=0, $A150-T$129&gt;T$116, NOT($A150-T$129&gt;0)), 0, IF($A150-T$129=T$116, T$126-SUM(T$131:T149), ROUND(PPMT(T$115, $A150-T$129, T$116, -T$126), -3)))</f>
        <v>1945000</v>
      </c>
      <c r="U150" s="15">
        <f>IF(OR(U$126=0, $A150-U$129&gt;U$116, NOT($A150-U$129&gt;0)), 0, IF($A150-U$129=U$116, U$126-SUM(U$131:U149), ROUND(PPMT(U$115, $A150-U$129, U$116, -U$126), -3)))</f>
        <v>0</v>
      </c>
      <c r="V150" s="15">
        <f>IF(OR(V$126=0, $A150-V$129&gt;V$116, NOT($A150-V$129&gt;0)), 0, IF($A150-V$129=V$116, V$126-SUM(V$131:V149), ROUND(PPMT(V$115, $A150-V$129, V$116, -V$126), -3)))</f>
        <v>0</v>
      </c>
      <c r="W150" s="15">
        <f>IF(OR(W$126=0, $A150-W$129&gt;W$116, NOT($A150-W$129&gt;0)), 0, IF($A150-W$129=W$116, W$126-SUM(W$131:W149), ROUND(PPMT(W$115, $A150-W$129, W$116, -W$126), -3)))</f>
        <v>0</v>
      </c>
      <c r="X150" s="15">
        <f>IF(OR(X$126=0, $A150-X$129&gt;X$116, NOT($A150-X$129&gt;0)), 0, IF($A150-X$129=X$116, X$126-SUM(X$131:X149), ROUND(PPMT(X$115, $A150-X$129, X$116, -X$126), -3)))</f>
        <v>0</v>
      </c>
      <c r="Y150" s="15">
        <f>IF(OR(Y$126=0, $A150-Y$129&gt;Y$116, NOT($A150-Y$129&gt;0)), 0, IF($A150-Y$129=Y$116, Y$126-SUM(Y$131:Y149), ROUND(PPMT(Y$115, $A150-Y$129, Y$116, -Y$126), -3)))</f>
        <v>0</v>
      </c>
      <c r="Z150" s="15">
        <f>IF(OR(Z$126=0, $A150-Z$129&gt;Z$116, NOT($A150-Z$129&gt;0)), 0, IF($A150-Z$129=Z$116, Z$126-SUM(Z$131:Z149), ROUND(PPMT(Z$115, $A150-Z$129, Z$116, -Z$126), -3)))</f>
        <v>0</v>
      </c>
      <c r="AA150" s="15">
        <f>IF(OR(AA$126=0, $A150-AA$129&gt;AA$116, NOT($A150-AA$129&gt;0)), 0, IF($A150-AA$129=AA$116, AA$126-SUM(AA$131:AA149), ROUND(PPMT(AA$115, $A150-AA$129, AA$116, -AA$126), -3)))</f>
        <v>0</v>
      </c>
      <c r="AB150" s="15">
        <f>IF(OR(AB$126=0, $A150-AB$129&gt;AB$116, NOT($A150-AB$129&gt;0)), 0, IF($A150-AB$129=AB$116, AB$126-SUM(AB$131:AB149), ROUND(PPMT(AB$115, $A150-AB$129, AB$116, -AB$126), -3)))</f>
        <v>0</v>
      </c>
      <c r="AC150" s="15">
        <f>IF(OR(AC$126=0, $A150-AC$129&gt;AC$116, NOT($A150-AC$129&gt;0)), 0, IF($A150-AC$129=AC$116, AC$126-SUM(AC$131:AC149), ROUND(PPMT(AC$115, $A150-AC$129, AC$116, -AC$126), -3)))</f>
        <v>0</v>
      </c>
      <c r="AD150" s="15">
        <f>IF(OR(AD$126=0, $A150-AD$129&gt;AD$116, NOT($A150-AD$129&gt;0)), 0, IF($A150-AD$129=AD$116, AD$126-SUM(AD$131:AD149), ROUND(PPMT(AD$115, $A150-AD$129, AD$116, -AD$126), -3)))</f>
        <v>0</v>
      </c>
      <c r="AE150" s="15">
        <f>IF(OR(AE$126=0, $A150-AE$129&gt;AE$116, NOT($A150-AE$129&gt;0)), 0, IF($A150-AE$129=AE$116, AE$126-SUM(AE$131:AE149), ROUND(PPMT(AE$115, $A150-AE$129, AE$116, -AE$126), -3)))</f>
        <v>0</v>
      </c>
      <c r="AF150" s="15">
        <f>IF(OR(AF$126=0, $A150-AF$129&gt;AF$116, NOT($A150-AF$129&gt;0)), 0, IF($A150-AF$129=AF$116, AF$126-SUM(AF$131:AF149), ROUND(PPMT(AF$115, $A150-AF$129, AF$116, -AF$126), -3)))</f>
        <v>0</v>
      </c>
      <c r="AG150" s="15">
        <f>IF(OR(AG$126=0, $A150-AG$129&gt;AG$116, NOT($A150-AG$129&gt;0)), 0, IF($A150-AG$129=AG$116, AG$126-SUM(AG$131:AG149), ROUND(PPMT(AG$115, $A150-AG$129, AG$116, -AG$126), -3)))</f>
        <v>0</v>
      </c>
      <c r="AH150" s="15">
        <f>IF(OR(AH$126=0, $A150-AH$129&gt;AH$116, NOT($A150-AH$129&gt;0)), 0, IF($A150-AH$129=AH$116, AH$126-SUM(AH$131:AH149), ROUND(PPMT(AH$115, $A150-AH$129, AH$116, -AH$126), -3)))</f>
        <v>0</v>
      </c>
      <c r="AI150" s="15">
        <f>IF(OR(AI$126=0, $A150-AI$129&gt;AI$116, NOT($A150-AI$129&gt;0)), 0, IF($A150-AI$129=AI$116, AI$126-SUM(AI$131:AI149), ROUND(PPMT(AI$115, $A150-AI$129, AI$116, -AI$126), -3)))</f>
        <v>0</v>
      </c>
      <c r="AJ150" s="15">
        <f>IF(OR(AJ$126=0, $A150-AJ$129&gt;AJ$116, NOT($A150-AJ$129&gt;0)), 0, IF($A150-AJ$129=AJ$116, AJ$126-SUM(AJ$131:AJ149), ROUND(PPMT(AJ$115, $A150-AJ$129, AJ$116, -AJ$126), -3)))</f>
        <v>0</v>
      </c>
      <c r="AK150" s="15">
        <f>IF(OR(AK$126=0, $A150-AK$129&gt;AK$116, NOT($A150-AK$129&gt;0)), 0, IF($A150-AK$129=AK$116, AK$126-SUM(AK$131:AK149), ROUND(PPMT(AK$115, $A150-AK$129, AK$116, -AK$126), -3)))</f>
        <v>0</v>
      </c>
      <c r="AL150" s="15">
        <f>IF(OR(AL$126=0, $A150-AL$129&gt;AL$116, NOT($A150-AL$129&gt;0)), 0, IF($A150-AL$129=AL$116, AL$126-SUM(AL$131:AL149), ROUND(PPMT(AL$115, $A150-AL$129, AL$116, -AL$126), -3)))</f>
        <v>0</v>
      </c>
      <c r="AM150" s="15">
        <f>IF(OR(AM$126=0, $A150-AM$129&gt;AM$116, NOT($A150-AM$129&gt;0)), 0, IF($A150-AM$129=AM$116, AM$126-SUM(AM$131:AM149), ROUND(PPMT(AM$115, $A150-AM$129, AM$116, -AM$126), -3)))</f>
        <v>0</v>
      </c>
    </row>
    <row r="151" spans="1:39" outlineLevel="1">
      <c r="A151" s="40">
        <f t="shared" si="105"/>
        <v>2044</v>
      </c>
      <c r="B151" s="46"/>
      <c r="C151" s="15">
        <f>IF(OR(C$126=0, $A151-C$129&gt;C$116, NOT($A151-C$129&gt;0)), 0, IF($A151-C$129=C$116, C$126-SUM(C$131:C150), ROUND(PPMT(C$115, $A151-C$129, C$116, -C$126), -3)))</f>
        <v>6343000</v>
      </c>
      <c r="D151" s="15">
        <f>IF(OR(D$126=0, $A151-D$129&gt;D$116, NOT($A151-D$129&gt;0)), 0, IF($A151-D$129=D$116, D$126-SUM(D$131:D150), ROUND(PPMT(D$115, $A151-D$129, D$116, -D$126), -3)))</f>
        <v>6015000</v>
      </c>
      <c r="E151" s="15">
        <f>IF(OR(E$126=0, $A151-E$129&gt;E$116, NOT($A151-E$129&gt;0)), 0, IF($A151-E$129=E$116, E$126-SUM(E$131:E150), ROUND(PPMT(E$115, $A151-E$129, E$116, -E$126), -3)))</f>
        <v>5701000</v>
      </c>
      <c r="F151" s="46">
        <f>IF(OR(F$126=0, $A151-F$129&gt;F$116, NOT($A151-F$129&gt;0)), 0, IF($A151-F$129=F$116, F$126-SUM(F$131:F150), ROUND(PPMT(F$115, $A151-F$129, F$116, -F$126), -3)))</f>
        <v>3696000</v>
      </c>
      <c r="G151" s="15">
        <f>IF(OR(G$126=0, $A151-G$129&gt;G$116, NOT($A151-G$129&gt;0)), 0, IF($A151-G$129=G$116, G$126-SUM(G$131:G150), ROUND(PPMT(G$115, $A151-G$129, G$116, -G$126), -3)))</f>
        <v>0</v>
      </c>
      <c r="H151" s="15">
        <f>IF(OR(H$126=0, $A151-H$129&gt;H$116, NOT($A151-H$129&gt;0)), 0, IF($A151-H$129=H$116, H$126-SUM(H$131:H150), ROUND(PPMT(H$115, $A151-H$129, H$116, -H$126), -3)))</f>
        <v>0</v>
      </c>
      <c r="I151" s="15">
        <f>IF(OR(I$126=0, $A151-I$129&gt;I$116, NOT($A151-I$129&gt;0)), 0, IF($A151-I$129=I$116, I$126-SUM(I$131:I150), ROUND(PPMT(I$115, $A151-I$129, I$116, -I$126), -3)))</f>
        <v>3776000</v>
      </c>
      <c r="J151" s="15">
        <f>IF(OR(J$126=0, $A151-J$129&gt;J$116, NOT($A151-J$129&gt;0)), 0, IF($A151-J$129=J$116, J$126-SUM(J$131:J150), ROUND(PPMT(J$115, $A151-J$129, J$116, -J$126), -3)))</f>
        <v>0</v>
      </c>
      <c r="K151" s="15">
        <f>IF(OR(K$126=0, $A151-K$129&gt;K$116, NOT($A151-K$129&gt;0)), 0, IF($A151-K$129=K$116, K$126-SUM(K$131:K150), ROUND(PPMT(K$115, $A151-K$129, K$116, -K$126), -3)))</f>
        <v>0</v>
      </c>
      <c r="L151" s="15">
        <f>IF(OR(L$126=0, $A151-L$129&gt;L$116, NOT($A151-L$129&gt;0)), 0, IF($A151-L$129=L$116, L$126-SUM(L$131:L150), ROUND(PPMT(L$115, $A151-L$129, L$116, -L$126), -3)))</f>
        <v>0</v>
      </c>
      <c r="M151" s="15">
        <f>IF(OR(M$126=0, $A151-M$129&gt;M$116, NOT($A151-M$129&gt;0)), 0, IF($A151-M$129=M$116, M$126-SUM(M$131:M150), ROUND(PPMT(M$115, $A151-M$129, M$116, -M$126), -3)))</f>
        <v>1037000</v>
      </c>
      <c r="N151" s="15">
        <f>IF(OR(N$126=0, $A151-N$129&gt;N$116, NOT($A151-N$129&gt;0)), 0, IF($A151-N$129=N$116, N$126-SUM(N$131:N150), ROUND(PPMT(N$115, $A151-N$129, N$116, -N$126), -3)))</f>
        <v>0</v>
      </c>
      <c r="O151" s="15">
        <f>IF(OR(O$126=0, $A151-O$129&gt;O$116, NOT($A151-O$129&gt;0)), 0, IF($A151-O$129=O$116, O$126-SUM(O$131:O150), ROUND(PPMT(O$115, $A151-O$129, O$116, -O$126), -3)))</f>
        <v>2091000</v>
      </c>
      <c r="P151" s="15">
        <f>IF(OR(P$126=0, $A151-P$129&gt;P$116, NOT($A151-P$129&gt;0)), 0, IF($A151-P$129=P$116, P$126-SUM(P$131:P150), ROUND(PPMT(P$115, $A151-P$129, P$116, -P$126), -3)))</f>
        <v>0</v>
      </c>
      <c r="Q151" s="15">
        <f>IF(OR(Q$126=0, $A151-Q$129&gt;Q$116, NOT($A151-Q$129&gt;0)), 0, IF($A151-Q$129=Q$116, Q$126-SUM(Q$131:Q150), ROUND(PPMT(Q$115, $A151-Q$129, Q$116, -Q$126), -3)))</f>
        <v>2153000</v>
      </c>
      <c r="R151" s="15">
        <f>IF(OR(R$126=0, $A151-R$129&gt;R$116, NOT($A151-R$129&gt;0)), 0, IF($A151-R$129=R$116, R$126-SUM(R$131:R150), ROUND(PPMT(R$115, $A151-R$129, R$116, -R$126), -3)))</f>
        <v>2071000</v>
      </c>
      <c r="S151" s="15">
        <f>IF(OR(S$126=0, $A151-S$129&gt;S$116, NOT($A151-S$129&gt;0)), 0, IF($A151-S$129=S$116, S$126-SUM(S$131:S150), ROUND(PPMT(S$115, $A151-S$129, S$116, -S$126), -3)))</f>
        <v>2093000</v>
      </c>
      <c r="T151" s="15">
        <f>IF(OR(T$126=0, $A151-T$129&gt;T$116, NOT($A151-T$129&gt;0)), 0, IF($A151-T$129=T$116, T$126-SUM(T$131:T150), ROUND(PPMT(T$115, $A151-T$129, T$116, -T$126), -3)))</f>
        <v>2052000</v>
      </c>
      <c r="U151" s="15">
        <f>IF(OR(U$126=0, $A151-U$129&gt;U$116, NOT($A151-U$129&gt;0)), 0, IF($A151-U$129=U$116, U$126-SUM(U$131:U150), ROUND(PPMT(U$115, $A151-U$129, U$116, -U$126), -3)))</f>
        <v>0</v>
      </c>
      <c r="V151" s="15">
        <f>IF(OR(V$126=0, $A151-V$129&gt;V$116, NOT($A151-V$129&gt;0)), 0, IF($A151-V$129=V$116, V$126-SUM(V$131:V150), ROUND(PPMT(V$115, $A151-V$129, V$116, -V$126), -3)))</f>
        <v>2408000</v>
      </c>
      <c r="W151" s="15">
        <f>IF(OR(W$126=0, $A151-W$129&gt;W$116, NOT($A151-W$129&gt;0)), 0, IF($A151-W$129=W$116, W$126-SUM(W$131:W150), ROUND(PPMT(W$115, $A151-W$129, W$116, -W$126), -3)))</f>
        <v>0</v>
      </c>
      <c r="X151" s="15">
        <f>IF(OR(X$126=0, $A151-X$129&gt;X$116, NOT($A151-X$129&gt;0)), 0, IF($A151-X$129=X$116, X$126-SUM(X$131:X150), ROUND(PPMT(X$115, $A151-X$129, X$116, -X$126), -3)))</f>
        <v>0</v>
      </c>
      <c r="Y151" s="15">
        <f>IF(OR(Y$126=0, $A151-Y$129&gt;Y$116, NOT($A151-Y$129&gt;0)), 0, IF($A151-Y$129=Y$116, Y$126-SUM(Y$131:Y150), ROUND(PPMT(Y$115, $A151-Y$129, Y$116, -Y$126), -3)))</f>
        <v>0</v>
      </c>
      <c r="Z151" s="15">
        <f>IF(OR(Z$126=0, $A151-Z$129&gt;Z$116, NOT($A151-Z$129&gt;0)), 0, IF($A151-Z$129=Z$116, Z$126-SUM(Z$131:Z150), ROUND(PPMT(Z$115, $A151-Z$129, Z$116, -Z$126), -3)))</f>
        <v>0</v>
      </c>
      <c r="AA151" s="15">
        <f>IF(OR(AA$126=0, $A151-AA$129&gt;AA$116, NOT($A151-AA$129&gt;0)), 0, IF($A151-AA$129=AA$116, AA$126-SUM(AA$131:AA150), ROUND(PPMT(AA$115, $A151-AA$129, AA$116, -AA$126), -3)))</f>
        <v>0</v>
      </c>
      <c r="AB151" s="15">
        <f>IF(OR(AB$126=0, $A151-AB$129&gt;AB$116, NOT($A151-AB$129&gt;0)), 0, IF($A151-AB$129=AB$116, AB$126-SUM(AB$131:AB150), ROUND(PPMT(AB$115, $A151-AB$129, AB$116, -AB$126), -3)))</f>
        <v>0</v>
      </c>
      <c r="AC151" s="15">
        <f>IF(OR(AC$126=0, $A151-AC$129&gt;AC$116, NOT($A151-AC$129&gt;0)), 0, IF($A151-AC$129=AC$116, AC$126-SUM(AC$131:AC150), ROUND(PPMT(AC$115, $A151-AC$129, AC$116, -AC$126), -3)))</f>
        <v>0</v>
      </c>
      <c r="AD151" s="15">
        <f>IF(OR(AD$126=0, $A151-AD$129&gt;AD$116, NOT($A151-AD$129&gt;0)), 0, IF($A151-AD$129=AD$116, AD$126-SUM(AD$131:AD150), ROUND(PPMT(AD$115, $A151-AD$129, AD$116, -AD$126), -3)))</f>
        <v>0</v>
      </c>
      <c r="AE151" s="15">
        <f>IF(OR(AE$126=0, $A151-AE$129&gt;AE$116, NOT($A151-AE$129&gt;0)), 0, IF($A151-AE$129=AE$116, AE$126-SUM(AE$131:AE150), ROUND(PPMT(AE$115, $A151-AE$129, AE$116, -AE$126), -3)))</f>
        <v>0</v>
      </c>
      <c r="AF151" s="15">
        <f>IF(OR(AF$126=0, $A151-AF$129&gt;AF$116, NOT($A151-AF$129&gt;0)), 0, IF($A151-AF$129=AF$116, AF$126-SUM(AF$131:AF150), ROUND(PPMT(AF$115, $A151-AF$129, AF$116, -AF$126), -3)))</f>
        <v>0</v>
      </c>
      <c r="AG151" s="15">
        <f>IF(OR(AG$126=0, $A151-AG$129&gt;AG$116, NOT($A151-AG$129&gt;0)), 0, IF($A151-AG$129=AG$116, AG$126-SUM(AG$131:AG150), ROUND(PPMT(AG$115, $A151-AG$129, AG$116, -AG$126), -3)))</f>
        <v>0</v>
      </c>
      <c r="AH151" s="15">
        <f>IF(OR(AH$126=0, $A151-AH$129&gt;AH$116, NOT($A151-AH$129&gt;0)), 0, IF($A151-AH$129=AH$116, AH$126-SUM(AH$131:AH150), ROUND(PPMT(AH$115, $A151-AH$129, AH$116, -AH$126), -3)))</f>
        <v>0</v>
      </c>
      <c r="AI151" s="15">
        <f>IF(OR(AI$126=0, $A151-AI$129&gt;AI$116, NOT($A151-AI$129&gt;0)), 0, IF($A151-AI$129=AI$116, AI$126-SUM(AI$131:AI150), ROUND(PPMT(AI$115, $A151-AI$129, AI$116, -AI$126), -3)))</f>
        <v>0</v>
      </c>
      <c r="AJ151" s="15">
        <f>IF(OR(AJ$126=0, $A151-AJ$129&gt;AJ$116, NOT($A151-AJ$129&gt;0)), 0, IF($A151-AJ$129=AJ$116, AJ$126-SUM(AJ$131:AJ150), ROUND(PPMT(AJ$115, $A151-AJ$129, AJ$116, -AJ$126), -3)))</f>
        <v>0</v>
      </c>
      <c r="AK151" s="15">
        <f>IF(OR(AK$126=0, $A151-AK$129&gt;AK$116, NOT($A151-AK$129&gt;0)), 0, IF($A151-AK$129=AK$116, AK$126-SUM(AK$131:AK150), ROUND(PPMT(AK$115, $A151-AK$129, AK$116, -AK$126), -3)))</f>
        <v>0</v>
      </c>
      <c r="AL151" s="15">
        <f>IF(OR(AL$126=0, $A151-AL$129&gt;AL$116, NOT($A151-AL$129&gt;0)), 0, IF($A151-AL$129=AL$116, AL$126-SUM(AL$131:AL150), ROUND(PPMT(AL$115, $A151-AL$129, AL$116, -AL$126), -3)))</f>
        <v>0</v>
      </c>
      <c r="AM151" s="15">
        <f>IF(OR(AM$126=0, $A151-AM$129&gt;AM$116, NOT($A151-AM$129&gt;0)), 0, IF($A151-AM$129=AM$116, AM$126-SUM(AM$131:AM150), ROUND(PPMT(AM$115, $A151-AM$129, AM$116, -AM$126), -3)))</f>
        <v>0</v>
      </c>
    </row>
    <row r="152" spans="1:39" outlineLevel="1">
      <c r="A152" s="40">
        <f t="shared" si="105"/>
        <v>2045</v>
      </c>
      <c r="B152" s="46"/>
      <c r="C152" s="15">
        <f>IF(OR(C$126=0, $A152-C$129&gt;C$116, NOT($A152-C$129&gt;0)), 0, IF($A152-C$129=C$116, C$126-SUM(C$131:C151), ROUND(PPMT(C$115, $A152-C$129, C$116, -C$126), -3)))</f>
        <v>0</v>
      </c>
      <c r="D152" s="15">
        <f>IF(OR(D$126=0, $A152-D$129&gt;D$116, NOT($A152-D$129&gt;0)), 0, IF($A152-D$129=D$116, D$126-SUM(D$131:D151), ROUND(PPMT(D$115, $A152-D$129, D$116, -D$126), -3)))</f>
        <v>6343000</v>
      </c>
      <c r="E152" s="15">
        <f>IF(OR(E$126=0, $A152-E$129&gt;E$116, NOT($A152-E$129&gt;0)), 0, IF($A152-E$129=E$116, E$126-SUM(E$131:E151), ROUND(PPMT(E$115, $A152-E$129, E$116, -E$126), -3)))</f>
        <v>6015000</v>
      </c>
      <c r="F152" s="46">
        <f>IF(OR(F$126=0, $A152-F$129&gt;F$116, NOT($A152-F$129&gt;0)), 0, IF($A152-F$129=F$116, F$126-SUM(F$131:F151), ROUND(PPMT(F$115, $A152-F$129, F$116, -F$126), -3)))</f>
        <v>3899000</v>
      </c>
      <c r="G152" s="15">
        <f>IF(OR(G$126=0, $A152-G$129&gt;G$116, NOT($A152-G$129&gt;0)), 0, IF($A152-G$129=G$116, G$126-SUM(G$131:G151), ROUND(PPMT(G$115, $A152-G$129, G$116, -G$126), -3)))</f>
        <v>0</v>
      </c>
      <c r="H152" s="15">
        <f>IF(OR(H$126=0, $A152-H$129&gt;H$116, NOT($A152-H$129&gt;0)), 0, IF($A152-H$129=H$116, H$126-SUM(H$131:H151), ROUND(PPMT(H$115, $A152-H$129, H$116, -H$126), -3)))</f>
        <v>0</v>
      </c>
      <c r="I152" s="15">
        <f>IF(OR(I$126=0, $A152-I$129&gt;I$116, NOT($A152-I$129&gt;0)), 0, IF($A152-I$129=I$116, I$126-SUM(I$131:I151), ROUND(PPMT(I$115, $A152-I$129, I$116, -I$126), -3)))</f>
        <v>3984000</v>
      </c>
      <c r="J152" s="15">
        <f>IF(OR(J$126=0, $A152-J$129&gt;J$116, NOT($A152-J$129&gt;0)), 0, IF($A152-J$129=J$116, J$126-SUM(J$131:J151), ROUND(PPMT(J$115, $A152-J$129, J$116, -J$126), -3)))</f>
        <v>0</v>
      </c>
      <c r="K152" s="15">
        <f>IF(OR(K$126=0, $A152-K$129&gt;K$116, NOT($A152-K$129&gt;0)), 0, IF($A152-K$129=K$116, K$126-SUM(K$131:K151), ROUND(PPMT(K$115, $A152-K$129, K$116, -K$126), -3)))</f>
        <v>0</v>
      </c>
      <c r="L152" s="15">
        <f>IF(OR(L$126=0, $A152-L$129&gt;L$116, NOT($A152-L$129&gt;0)), 0, IF($A152-L$129=L$116, L$126-SUM(L$131:L151), ROUND(PPMT(L$115, $A152-L$129, L$116, -L$126), -3)))</f>
        <v>0</v>
      </c>
      <c r="M152" s="15">
        <f>IF(OR(M$126=0, $A152-M$129&gt;M$116, NOT($A152-M$129&gt;0)), 0, IF($A152-M$129=M$116, M$126-SUM(M$131:M151), ROUND(PPMT(M$115, $A152-M$129, M$116, -M$126), -3)))</f>
        <v>1094000</v>
      </c>
      <c r="N152" s="15">
        <f>IF(OR(N$126=0, $A152-N$129&gt;N$116, NOT($A152-N$129&gt;0)), 0, IF($A152-N$129=N$116, N$126-SUM(N$131:N151), ROUND(PPMT(N$115, $A152-N$129, N$116, -N$126), -3)))</f>
        <v>0</v>
      </c>
      <c r="O152" s="15">
        <f>IF(OR(O$126=0, $A152-O$129&gt;O$116, NOT($A152-O$129&gt;0)), 0, IF($A152-O$129=O$116, O$126-SUM(O$131:O151), ROUND(PPMT(O$115, $A152-O$129, O$116, -O$126), -3)))</f>
        <v>2206000</v>
      </c>
      <c r="P152" s="15">
        <f>IF(OR(P$126=0, $A152-P$129&gt;P$116, NOT($A152-P$129&gt;0)), 0, IF($A152-P$129=P$116, P$126-SUM(P$131:P151), ROUND(PPMT(P$115, $A152-P$129, P$116, -P$126), -3)))</f>
        <v>0</v>
      </c>
      <c r="Q152" s="15">
        <f>IF(OR(Q$126=0, $A152-Q$129&gt;Q$116, NOT($A152-Q$129&gt;0)), 0, IF($A152-Q$129=Q$116, Q$126-SUM(Q$131:Q151), ROUND(PPMT(Q$115, $A152-Q$129, Q$116, -Q$126), -3)))</f>
        <v>2271000</v>
      </c>
      <c r="R152" s="15">
        <f>IF(OR(R$126=0, $A152-R$129&gt;R$116, NOT($A152-R$129&gt;0)), 0, IF($A152-R$129=R$116, R$126-SUM(R$131:R151), ROUND(PPMT(R$115, $A152-R$129, R$116, -R$126), -3)))</f>
        <v>2185000</v>
      </c>
      <c r="S152" s="15">
        <f>IF(OR(S$126=0, $A152-S$129&gt;S$116, NOT($A152-S$129&gt;0)), 0, IF($A152-S$129=S$116, S$126-SUM(S$131:S151), ROUND(PPMT(S$115, $A152-S$129, S$116, -S$126), -3)))</f>
        <v>2208000</v>
      </c>
      <c r="T152" s="15">
        <f>IF(OR(T$126=0, $A152-T$129&gt;T$116, NOT($A152-T$129&gt;0)), 0, IF($A152-T$129=T$116, T$126-SUM(T$131:T151), ROUND(PPMT(T$115, $A152-T$129, T$116, -T$126), -3)))</f>
        <v>2165000</v>
      </c>
      <c r="U152" s="15">
        <f>IF(OR(U$126=0, $A152-U$129&gt;U$116, NOT($A152-U$129&gt;0)), 0, IF($A152-U$129=U$116, U$126-SUM(U$131:U151), ROUND(PPMT(U$115, $A152-U$129, U$116, -U$126), -3)))</f>
        <v>0</v>
      </c>
      <c r="V152" s="15">
        <f>IF(OR(V$126=0, $A152-V$129&gt;V$116, NOT($A152-V$129&gt;0)), 0, IF($A152-V$129=V$116, V$126-SUM(V$131:V151), ROUND(PPMT(V$115, $A152-V$129, V$116, -V$126), -3)))</f>
        <v>2528000</v>
      </c>
      <c r="W152" s="15">
        <f>IF(OR(W$126=0, $A152-W$129&gt;W$116, NOT($A152-W$129&gt;0)), 0, IF($A152-W$129=W$116, W$126-SUM(W$131:W151), ROUND(PPMT(W$115, $A152-W$129, W$116, -W$126), -3)))</f>
        <v>2616000</v>
      </c>
      <c r="X152" s="15">
        <f>IF(OR(X$126=0, $A152-X$129&gt;X$116, NOT($A152-X$129&gt;0)), 0, IF($A152-X$129=X$116, X$126-SUM(X$131:X151), ROUND(PPMT(X$115, $A152-X$129, X$116, -X$126), -3)))</f>
        <v>0</v>
      </c>
      <c r="Y152" s="15">
        <f>IF(OR(Y$126=0, $A152-Y$129&gt;Y$116, NOT($A152-Y$129&gt;0)), 0, IF($A152-Y$129=Y$116, Y$126-SUM(Y$131:Y151), ROUND(PPMT(Y$115, $A152-Y$129, Y$116, -Y$126), -3)))</f>
        <v>0</v>
      </c>
      <c r="Z152" s="15">
        <f>IF(OR(Z$126=0, $A152-Z$129&gt;Z$116, NOT($A152-Z$129&gt;0)), 0, IF($A152-Z$129=Z$116, Z$126-SUM(Z$131:Z151), ROUND(PPMT(Z$115, $A152-Z$129, Z$116, -Z$126), -3)))</f>
        <v>0</v>
      </c>
      <c r="AA152" s="15">
        <f>IF(OR(AA$126=0, $A152-AA$129&gt;AA$116, NOT($A152-AA$129&gt;0)), 0, IF($A152-AA$129=AA$116, AA$126-SUM(AA$131:AA151), ROUND(PPMT(AA$115, $A152-AA$129, AA$116, -AA$126), -3)))</f>
        <v>0</v>
      </c>
      <c r="AB152" s="15">
        <f>IF(OR(AB$126=0, $A152-AB$129&gt;AB$116, NOT($A152-AB$129&gt;0)), 0, IF($A152-AB$129=AB$116, AB$126-SUM(AB$131:AB151), ROUND(PPMT(AB$115, $A152-AB$129, AB$116, -AB$126), -3)))</f>
        <v>0</v>
      </c>
      <c r="AC152" s="15">
        <f>IF(OR(AC$126=0, $A152-AC$129&gt;AC$116, NOT($A152-AC$129&gt;0)), 0, IF($A152-AC$129=AC$116, AC$126-SUM(AC$131:AC151), ROUND(PPMT(AC$115, $A152-AC$129, AC$116, -AC$126), -3)))</f>
        <v>0</v>
      </c>
      <c r="AD152" s="15">
        <f>IF(OR(AD$126=0, $A152-AD$129&gt;AD$116, NOT($A152-AD$129&gt;0)), 0, IF($A152-AD$129=AD$116, AD$126-SUM(AD$131:AD151), ROUND(PPMT(AD$115, $A152-AD$129, AD$116, -AD$126), -3)))</f>
        <v>0</v>
      </c>
      <c r="AE152" s="15">
        <f>IF(OR(AE$126=0, $A152-AE$129&gt;AE$116, NOT($A152-AE$129&gt;0)), 0, IF($A152-AE$129=AE$116, AE$126-SUM(AE$131:AE151), ROUND(PPMT(AE$115, $A152-AE$129, AE$116, -AE$126), -3)))</f>
        <v>0</v>
      </c>
      <c r="AF152" s="15">
        <f>IF(OR(AF$126=0, $A152-AF$129&gt;AF$116, NOT($A152-AF$129&gt;0)), 0, IF($A152-AF$129=AF$116, AF$126-SUM(AF$131:AF151), ROUND(PPMT(AF$115, $A152-AF$129, AF$116, -AF$126), -3)))</f>
        <v>0</v>
      </c>
      <c r="AG152" s="15">
        <f>IF(OR(AG$126=0, $A152-AG$129&gt;AG$116, NOT($A152-AG$129&gt;0)), 0, IF($A152-AG$129=AG$116, AG$126-SUM(AG$131:AG151), ROUND(PPMT(AG$115, $A152-AG$129, AG$116, -AG$126), -3)))</f>
        <v>0</v>
      </c>
      <c r="AH152" s="15">
        <f>IF(OR(AH$126=0, $A152-AH$129&gt;AH$116, NOT($A152-AH$129&gt;0)), 0, IF($A152-AH$129=AH$116, AH$126-SUM(AH$131:AH151), ROUND(PPMT(AH$115, $A152-AH$129, AH$116, -AH$126), -3)))</f>
        <v>0</v>
      </c>
      <c r="AI152" s="15">
        <f>IF(OR(AI$126=0, $A152-AI$129&gt;AI$116, NOT($A152-AI$129&gt;0)), 0, IF($A152-AI$129=AI$116, AI$126-SUM(AI$131:AI151), ROUND(PPMT(AI$115, $A152-AI$129, AI$116, -AI$126), -3)))</f>
        <v>0</v>
      </c>
      <c r="AJ152" s="15">
        <f>IF(OR(AJ$126=0, $A152-AJ$129&gt;AJ$116, NOT($A152-AJ$129&gt;0)), 0, IF($A152-AJ$129=AJ$116, AJ$126-SUM(AJ$131:AJ151), ROUND(PPMT(AJ$115, $A152-AJ$129, AJ$116, -AJ$126), -3)))</f>
        <v>0</v>
      </c>
      <c r="AK152" s="15">
        <f>IF(OR(AK$126=0, $A152-AK$129&gt;AK$116, NOT($A152-AK$129&gt;0)), 0, IF($A152-AK$129=AK$116, AK$126-SUM(AK$131:AK151), ROUND(PPMT(AK$115, $A152-AK$129, AK$116, -AK$126), -3)))</f>
        <v>0</v>
      </c>
      <c r="AL152" s="15">
        <f>IF(OR(AL$126=0, $A152-AL$129&gt;AL$116, NOT($A152-AL$129&gt;0)), 0, IF($A152-AL$129=AL$116, AL$126-SUM(AL$131:AL151), ROUND(PPMT(AL$115, $A152-AL$129, AL$116, -AL$126), -3)))</f>
        <v>0</v>
      </c>
      <c r="AM152" s="15">
        <f>IF(OR(AM$126=0, $A152-AM$129&gt;AM$116, NOT($A152-AM$129&gt;0)), 0, IF($A152-AM$129=AM$116, AM$126-SUM(AM$131:AM151), ROUND(PPMT(AM$115, $A152-AM$129, AM$116, -AM$126), -3)))</f>
        <v>0</v>
      </c>
    </row>
    <row r="153" spans="1:39" outlineLevel="1">
      <c r="A153" s="40">
        <f t="shared" si="105"/>
        <v>2046</v>
      </c>
      <c r="B153" s="46"/>
      <c r="C153" s="15">
        <f>IF(OR(C$126=0, $A153-C$129&gt;C$116, NOT($A153-C$129&gt;0)), 0, IF($A153-C$129=C$116, C$126-SUM(C$131:C152), ROUND(PPMT(C$115, $A153-C$129, C$116, -C$126), -3)))</f>
        <v>0</v>
      </c>
      <c r="D153" s="15">
        <f>IF(OR(D$126=0, $A153-D$129&gt;D$116, NOT($A153-D$129&gt;0)), 0, IF($A153-D$129=D$116, D$126-SUM(D$131:D152), ROUND(PPMT(D$115, $A153-D$129, D$116, -D$126), -3)))</f>
        <v>0</v>
      </c>
      <c r="E153" s="15">
        <f>IF(OR(E$126=0, $A153-E$129&gt;E$116, NOT($A153-E$129&gt;0)), 0, IF($A153-E$129=E$116, E$126-SUM(E$131:E152), ROUND(PPMT(E$115, $A153-E$129, E$116, -E$126), -3)))</f>
        <v>6343000</v>
      </c>
      <c r="F153" s="46">
        <f>IF(OR(F$126=0, $A153-F$129&gt;F$116, NOT($A153-F$129&gt;0)), 0, IF($A153-F$129=F$116, F$126-SUM(F$131:F152), ROUND(PPMT(F$115, $A153-F$129, F$116, -F$126), -3)))</f>
        <v>4113000</v>
      </c>
      <c r="G153" s="15">
        <f>IF(OR(G$126=0, $A153-G$129&gt;G$116, NOT($A153-G$129&gt;0)), 0, IF($A153-G$129=G$116, G$126-SUM(G$131:G152), ROUND(PPMT(G$115, $A153-G$129, G$116, -G$126), -3)))</f>
        <v>0</v>
      </c>
      <c r="H153" s="15">
        <f>IF(OR(H$126=0, $A153-H$129&gt;H$116, NOT($A153-H$129&gt;0)), 0, IF($A153-H$129=H$116, H$126-SUM(H$131:H152), ROUND(PPMT(H$115, $A153-H$129, H$116, -H$126), -3)))</f>
        <v>0</v>
      </c>
      <c r="I153" s="15">
        <f>IF(OR(I$126=0, $A153-I$129&gt;I$116, NOT($A153-I$129&gt;0)), 0, IF($A153-I$129=I$116, I$126-SUM(I$131:I152), ROUND(PPMT(I$115, $A153-I$129, I$116, -I$126), -3)))</f>
        <v>4203000</v>
      </c>
      <c r="J153" s="15">
        <f>IF(OR(J$126=0, $A153-J$129&gt;J$116, NOT($A153-J$129&gt;0)), 0, IF($A153-J$129=J$116, J$126-SUM(J$131:J152), ROUND(PPMT(J$115, $A153-J$129, J$116, -J$126), -3)))</f>
        <v>0</v>
      </c>
      <c r="K153" s="15">
        <f>IF(OR(K$126=0, $A153-K$129&gt;K$116, NOT($A153-K$129&gt;0)), 0, IF($A153-K$129=K$116, K$126-SUM(K$131:K152), ROUND(PPMT(K$115, $A153-K$129, K$116, -K$126), -3)))</f>
        <v>0</v>
      </c>
      <c r="L153" s="15">
        <f>IF(OR(L$126=0, $A153-L$129&gt;L$116, NOT($A153-L$129&gt;0)), 0, IF($A153-L$129=L$116, L$126-SUM(L$131:L152), ROUND(PPMT(L$115, $A153-L$129, L$116, -L$126), -3)))</f>
        <v>0</v>
      </c>
      <c r="M153" s="15">
        <f>IF(OR(M$126=0, $A153-M$129&gt;M$116, NOT($A153-M$129&gt;0)), 0, IF($A153-M$129=M$116, M$126-SUM(M$131:M152), ROUND(PPMT(M$115, $A153-M$129, M$116, -M$126), -3)))</f>
        <v>1154000</v>
      </c>
      <c r="N153" s="15">
        <f>IF(OR(N$126=0, $A153-N$129&gt;N$116, NOT($A153-N$129&gt;0)), 0, IF($A153-N$129=N$116, N$126-SUM(N$131:N152), ROUND(PPMT(N$115, $A153-N$129, N$116, -N$126), -3)))</f>
        <v>0</v>
      </c>
      <c r="O153" s="15">
        <f>IF(OR(O$126=0, $A153-O$129&gt;O$116, NOT($A153-O$129&gt;0)), 0, IF($A153-O$129=O$116, O$126-SUM(O$131:O152), ROUND(PPMT(O$115, $A153-O$129, O$116, -O$126), -3)))</f>
        <v>2327000</v>
      </c>
      <c r="P153" s="15">
        <f>IF(OR(P$126=0, $A153-P$129&gt;P$116, NOT($A153-P$129&gt;0)), 0, IF($A153-P$129=P$116, P$126-SUM(P$131:P152), ROUND(PPMT(P$115, $A153-P$129, P$116, -P$126), -3)))</f>
        <v>0</v>
      </c>
      <c r="Q153" s="15">
        <f>IF(OR(Q$126=0, $A153-Q$129&gt;Q$116, NOT($A153-Q$129&gt;0)), 0, IF($A153-Q$129=Q$116, Q$126-SUM(Q$131:Q152), ROUND(PPMT(Q$115, $A153-Q$129, Q$116, -Q$126), -3)))</f>
        <v>2396000</v>
      </c>
      <c r="R153" s="15">
        <f>IF(OR(R$126=0, $A153-R$129&gt;R$116, NOT($A153-R$129&gt;0)), 0, IF($A153-R$129=R$116, R$126-SUM(R$131:R152), ROUND(PPMT(R$115, $A153-R$129, R$116, -R$126), -3)))</f>
        <v>2305000</v>
      </c>
      <c r="S153" s="15">
        <f>IF(OR(S$126=0, $A153-S$129&gt;S$116, NOT($A153-S$129&gt;0)), 0, IF($A153-S$129=S$116, S$126-SUM(S$131:S152), ROUND(PPMT(S$115, $A153-S$129, S$116, -S$126), -3)))</f>
        <v>2330000</v>
      </c>
      <c r="T153" s="15">
        <f>IF(OR(T$126=0, $A153-T$129&gt;T$116, NOT($A153-T$129&gt;0)), 0, IF($A153-T$129=T$116, T$126-SUM(T$131:T152), ROUND(PPMT(T$115, $A153-T$129, T$116, -T$126), -3)))</f>
        <v>2284000</v>
      </c>
      <c r="U153" s="15">
        <f>IF(OR(U$126=0, $A153-U$129&gt;U$116, NOT($A153-U$129&gt;0)), 0, IF($A153-U$129=U$116, U$126-SUM(U$131:U152), ROUND(PPMT(U$115, $A153-U$129, U$116, -U$126), -3)))</f>
        <v>0</v>
      </c>
      <c r="V153" s="15">
        <f>IF(OR(V$126=0, $A153-V$129&gt;V$116, NOT($A153-V$129&gt;0)), 0, IF($A153-V$129=V$116, V$126-SUM(V$131:V152), ROUND(PPMT(V$115, $A153-V$129, V$116, -V$126), -3)))</f>
        <v>2654000</v>
      </c>
      <c r="W153" s="15">
        <f>IF(OR(W$126=0, $A153-W$129&gt;W$116, NOT($A153-W$129&gt;0)), 0, IF($A153-W$129=W$116, W$126-SUM(W$131:W152), ROUND(PPMT(W$115, $A153-W$129, W$116, -W$126), -3)))</f>
        <v>2747000</v>
      </c>
      <c r="X153" s="15">
        <f>IF(OR(X$126=0, $A153-X$129&gt;X$116, NOT($A153-X$129&gt;0)), 0, IF($A153-X$129=X$116, X$126-SUM(X$131:X152), ROUND(PPMT(X$115, $A153-X$129, X$116, -X$126), -3)))</f>
        <v>2575000</v>
      </c>
      <c r="Y153" s="15">
        <f>IF(OR(Y$126=0, $A153-Y$129&gt;Y$116, NOT($A153-Y$129&gt;0)), 0, IF($A153-Y$129=Y$116, Y$126-SUM(Y$131:Y152), ROUND(PPMT(Y$115, $A153-Y$129, Y$116, -Y$126), -3)))</f>
        <v>0</v>
      </c>
      <c r="Z153" s="15">
        <f>IF(OR(Z$126=0, $A153-Z$129&gt;Z$116, NOT($A153-Z$129&gt;0)), 0, IF($A153-Z$129=Z$116, Z$126-SUM(Z$131:Z152), ROUND(PPMT(Z$115, $A153-Z$129, Z$116, -Z$126), -3)))</f>
        <v>0</v>
      </c>
      <c r="AA153" s="15">
        <f>IF(OR(AA$126=0, $A153-AA$129&gt;AA$116, NOT($A153-AA$129&gt;0)), 0, IF($A153-AA$129=AA$116, AA$126-SUM(AA$131:AA152), ROUND(PPMT(AA$115, $A153-AA$129, AA$116, -AA$126), -3)))</f>
        <v>0</v>
      </c>
      <c r="AB153" s="15">
        <f>IF(OR(AB$126=0, $A153-AB$129&gt;AB$116, NOT($A153-AB$129&gt;0)), 0, IF($A153-AB$129=AB$116, AB$126-SUM(AB$131:AB152), ROUND(PPMT(AB$115, $A153-AB$129, AB$116, -AB$126), -3)))</f>
        <v>0</v>
      </c>
      <c r="AC153" s="15">
        <f>IF(OR(AC$126=0, $A153-AC$129&gt;AC$116, NOT($A153-AC$129&gt;0)), 0, IF($A153-AC$129=AC$116, AC$126-SUM(AC$131:AC152), ROUND(PPMT(AC$115, $A153-AC$129, AC$116, -AC$126), -3)))</f>
        <v>0</v>
      </c>
      <c r="AD153" s="15">
        <f>IF(OR(AD$126=0, $A153-AD$129&gt;AD$116, NOT($A153-AD$129&gt;0)), 0, IF($A153-AD$129=AD$116, AD$126-SUM(AD$131:AD152), ROUND(PPMT(AD$115, $A153-AD$129, AD$116, -AD$126), -3)))</f>
        <v>0</v>
      </c>
      <c r="AE153" s="15">
        <f>IF(OR(AE$126=0, $A153-AE$129&gt;AE$116, NOT($A153-AE$129&gt;0)), 0, IF($A153-AE$129=AE$116, AE$126-SUM(AE$131:AE152), ROUND(PPMT(AE$115, $A153-AE$129, AE$116, -AE$126), -3)))</f>
        <v>0</v>
      </c>
      <c r="AF153" s="15">
        <f>IF(OR(AF$126=0, $A153-AF$129&gt;AF$116, NOT($A153-AF$129&gt;0)), 0, IF($A153-AF$129=AF$116, AF$126-SUM(AF$131:AF152), ROUND(PPMT(AF$115, $A153-AF$129, AF$116, -AF$126), -3)))</f>
        <v>0</v>
      </c>
      <c r="AG153" s="15">
        <f>IF(OR(AG$126=0, $A153-AG$129&gt;AG$116, NOT($A153-AG$129&gt;0)), 0, IF($A153-AG$129=AG$116, AG$126-SUM(AG$131:AG152), ROUND(PPMT(AG$115, $A153-AG$129, AG$116, -AG$126), -3)))</f>
        <v>0</v>
      </c>
      <c r="AH153" s="15">
        <f>IF(OR(AH$126=0, $A153-AH$129&gt;AH$116, NOT($A153-AH$129&gt;0)), 0, IF($A153-AH$129=AH$116, AH$126-SUM(AH$131:AH152), ROUND(PPMT(AH$115, $A153-AH$129, AH$116, -AH$126), -3)))</f>
        <v>0</v>
      </c>
      <c r="AI153" s="15">
        <f>IF(OR(AI$126=0, $A153-AI$129&gt;AI$116, NOT($A153-AI$129&gt;0)), 0, IF($A153-AI$129=AI$116, AI$126-SUM(AI$131:AI152), ROUND(PPMT(AI$115, $A153-AI$129, AI$116, -AI$126), -3)))</f>
        <v>0</v>
      </c>
      <c r="AJ153" s="15">
        <f>IF(OR(AJ$126=0, $A153-AJ$129&gt;AJ$116, NOT($A153-AJ$129&gt;0)), 0, IF($A153-AJ$129=AJ$116, AJ$126-SUM(AJ$131:AJ152), ROUND(PPMT(AJ$115, $A153-AJ$129, AJ$116, -AJ$126), -3)))</f>
        <v>0</v>
      </c>
      <c r="AK153" s="15">
        <f>IF(OR(AK$126=0, $A153-AK$129&gt;AK$116, NOT($A153-AK$129&gt;0)), 0, IF($A153-AK$129=AK$116, AK$126-SUM(AK$131:AK152), ROUND(PPMT(AK$115, $A153-AK$129, AK$116, -AK$126), -3)))</f>
        <v>0</v>
      </c>
      <c r="AL153" s="15">
        <f>IF(OR(AL$126=0, $A153-AL$129&gt;AL$116, NOT($A153-AL$129&gt;0)), 0, IF($A153-AL$129=AL$116, AL$126-SUM(AL$131:AL152), ROUND(PPMT(AL$115, $A153-AL$129, AL$116, -AL$126), -3)))</f>
        <v>0</v>
      </c>
      <c r="AM153" s="15">
        <f>IF(OR(AM$126=0, $A153-AM$129&gt;AM$116, NOT($A153-AM$129&gt;0)), 0, IF($A153-AM$129=AM$116, AM$126-SUM(AM$131:AM152), ROUND(PPMT(AM$115, $A153-AM$129, AM$116, -AM$126), -3)))</f>
        <v>0</v>
      </c>
    </row>
    <row r="154" spans="1:39" outlineLevel="1">
      <c r="A154" s="40">
        <f t="shared" si="105"/>
        <v>2047</v>
      </c>
      <c r="B154" s="46"/>
      <c r="C154" s="15">
        <f>IF(OR(C$126=0, $A154-C$129&gt;C$116, NOT($A154-C$129&gt;0)), 0, IF($A154-C$129=C$116, C$126-SUM(C$131:C153), ROUND(PPMT(C$115, $A154-C$129, C$116, -C$126), -3)))</f>
        <v>0</v>
      </c>
      <c r="D154" s="15">
        <f>IF(OR(D$126=0, $A154-D$129&gt;D$116, NOT($A154-D$129&gt;0)), 0, IF($A154-D$129=D$116, D$126-SUM(D$131:D153), ROUND(PPMT(D$115, $A154-D$129, D$116, -D$126), -3)))</f>
        <v>0</v>
      </c>
      <c r="E154" s="15">
        <f>IF(OR(E$126=0, $A154-E$129&gt;E$116, NOT($A154-E$129&gt;0)), 0, IF($A154-E$129=E$116, E$126-SUM(E$131:E153), ROUND(PPMT(E$115, $A154-E$129, E$116, -E$126), -3)))</f>
        <v>0</v>
      </c>
      <c r="F154" s="46">
        <f>IF(OR(F$126=0, $A154-F$129&gt;F$116, NOT($A154-F$129&gt;0)), 0, IF($A154-F$129=F$116, F$126-SUM(F$131:F153), ROUND(PPMT(F$115, $A154-F$129, F$116, -F$126), -3)))</f>
        <v>4341000</v>
      </c>
      <c r="G154" s="15">
        <f>IF(OR(G$126=0, $A154-G$129&gt;G$116, NOT($A154-G$129&gt;0)), 0, IF($A154-G$129=G$116, G$126-SUM(G$131:G153), ROUND(PPMT(G$115, $A154-G$129, G$116, -G$126), -3)))</f>
        <v>0</v>
      </c>
      <c r="H154" s="15">
        <f>IF(OR(H$126=0, $A154-H$129&gt;H$116, NOT($A154-H$129&gt;0)), 0, IF($A154-H$129=H$116, H$126-SUM(H$131:H153), ROUND(PPMT(H$115, $A154-H$129, H$116, -H$126), -3)))</f>
        <v>0</v>
      </c>
      <c r="I154" s="15">
        <f>IF(OR(I$126=0, $A154-I$129&gt;I$116, NOT($A154-I$129&gt;0)), 0, IF($A154-I$129=I$116, I$126-SUM(I$131:I153), ROUND(PPMT(I$115, $A154-I$129, I$116, -I$126), -3)))</f>
        <v>4434000</v>
      </c>
      <c r="J154" s="15">
        <f>IF(OR(J$126=0, $A154-J$129&gt;J$116, NOT($A154-J$129&gt;0)), 0, IF($A154-J$129=J$116, J$126-SUM(J$131:J153), ROUND(PPMT(J$115, $A154-J$129, J$116, -J$126), -3)))</f>
        <v>0</v>
      </c>
      <c r="K154" s="15">
        <f>IF(OR(K$126=0, $A154-K$129&gt;K$116, NOT($A154-K$129&gt;0)), 0, IF($A154-K$129=K$116, K$126-SUM(K$131:K153), ROUND(PPMT(K$115, $A154-K$129, K$116, -K$126), -3)))</f>
        <v>0</v>
      </c>
      <c r="L154" s="15">
        <f>IF(OR(L$126=0, $A154-L$129&gt;L$116, NOT($A154-L$129&gt;0)), 0, IF($A154-L$129=L$116, L$126-SUM(L$131:L153), ROUND(PPMT(L$115, $A154-L$129, L$116, -L$126), -3)))</f>
        <v>0</v>
      </c>
      <c r="M154" s="15">
        <f>IF(OR(M$126=0, $A154-M$129&gt;M$116, NOT($A154-M$129&gt;0)), 0, IF($A154-M$129=M$116, M$126-SUM(M$131:M153), ROUND(PPMT(M$115, $A154-M$129, M$116, -M$126), -3)))</f>
        <v>1218000</v>
      </c>
      <c r="N154" s="15">
        <f>IF(OR(N$126=0, $A154-N$129&gt;N$116, NOT($A154-N$129&gt;0)), 0, IF($A154-N$129=N$116, N$126-SUM(N$131:N153), ROUND(PPMT(N$115, $A154-N$129, N$116, -N$126), -3)))</f>
        <v>0</v>
      </c>
      <c r="O154" s="15">
        <f>IF(OR(O$126=0, $A154-O$129&gt;O$116, NOT($A154-O$129&gt;0)), 0, IF($A154-O$129=O$116, O$126-SUM(O$131:O153), ROUND(PPMT(O$115, $A154-O$129, O$116, -O$126), -3)))</f>
        <v>2455000</v>
      </c>
      <c r="P154" s="15">
        <f>IF(OR(P$126=0, $A154-P$129&gt;P$116, NOT($A154-P$129&gt;0)), 0, IF($A154-P$129=P$116, P$126-SUM(P$131:P153), ROUND(PPMT(P$115, $A154-P$129, P$116, -P$126), -3)))</f>
        <v>0</v>
      </c>
      <c r="Q154" s="15">
        <f>IF(OR(Q$126=0, $A154-Q$129&gt;Q$116, NOT($A154-Q$129&gt;0)), 0, IF($A154-Q$129=Q$116, Q$126-SUM(Q$131:Q153), ROUND(PPMT(Q$115, $A154-Q$129, Q$116, -Q$126), -3)))</f>
        <v>2528000</v>
      </c>
      <c r="R154" s="15">
        <f>IF(OR(R$126=0, $A154-R$129&gt;R$116, NOT($A154-R$129&gt;0)), 0, IF($A154-R$129=R$116, R$126-SUM(R$131:R153), ROUND(PPMT(R$115, $A154-R$129, R$116, -R$126), -3)))</f>
        <v>2432000</v>
      </c>
      <c r="S154" s="15">
        <f>IF(OR(S$126=0, $A154-S$129&gt;S$116, NOT($A154-S$129&gt;0)), 0, IF($A154-S$129=S$116, S$126-SUM(S$131:S153), ROUND(PPMT(S$115, $A154-S$129, S$116, -S$126), -3)))</f>
        <v>2458000</v>
      </c>
      <c r="T154" s="15">
        <f>IF(OR(T$126=0, $A154-T$129&gt;T$116, NOT($A154-T$129&gt;0)), 0, IF($A154-T$129=T$116, T$126-SUM(T$131:T153), ROUND(PPMT(T$115, $A154-T$129, T$116, -T$126), -3)))</f>
        <v>2410000</v>
      </c>
      <c r="U154" s="15">
        <f>IF(OR(U$126=0, $A154-U$129&gt;U$116, NOT($A154-U$129&gt;0)), 0, IF($A154-U$129=U$116, U$126-SUM(U$131:U153), ROUND(PPMT(U$115, $A154-U$129, U$116, -U$126), -3)))</f>
        <v>0</v>
      </c>
      <c r="V154" s="15">
        <f>IF(OR(V$126=0, $A154-V$129&gt;V$116, NOT($A154-V$129&gt;0)), 0, IF($A154-V$129=V$116, V$126-SUM(V$131:V153), ROUND(PPMT(V$115, $A154-V$129, V$116, -V$126), -3)))</f>
        <v>2787000</v>
      </c>
      <c r="W154" s="15">
        <f>IF(OR(W$126=0, $A154-W$129&gt;W$116, NOT($A154-W$129&gt;0)), 0, IF($A154-W$129=W$116, W$126-SUM(W$131:W153), ROUND(PPMT(W$115, $A154-W$129, W$116, -W$126), -3)))</f>
        <v>2884000</v>
      </c>
      <c r="X154" s="15">
        <f>IF(OR(X$126=0, $A154-X$129&gt;X$116, NOT($A154-X$129&gt;0)), 0, IF($A154-X$129=X$116, X$126-SUM(X$131:X153), ROUND(PPMT(X$115, $A154-X$129, X$116, -X$126), -3)))</f>
        <v>2703000</v>
      </c>
      <c r="Y154" s="15">
        <f>IF(OR(Y$126=0, $A154-Y$129&gt;Y$116, NOT($A154-Y$129&gt;0)), 0, IF($A154-Y$129=Y$116, Y$126-SUM(Y$131:Y153), ROUND(PPMT(Y$115, $A154-Y$129, Y$116, -Y$126), -3)))</f>
        <v>0</v>
      </c>
      <c r="Z154" s="15">
        <f>IF(OR(Z$126=0, $A154-Z$129&gt;Z$116, NOT($A154-Z$129&gt;0)), 0, IF($A154-Z$129=Z$116, Z$126-SUM(Z$131:Z153), ROUND(PPMT(Z$115, $A154-Z$129, Z$116, -Z$126), -3)))</f>
        <v>0</v>
      </c>
      <c r="AA154" s="15">
        <f>IF(OR(AA$126=0, $A154-AA$129&gt;AA$116, NOT($A154-AA$129&gt;0)), 0, IF($A154-AA$129=AA$116, AA$126-SUM(AA$131:AA153), ROUND(PPMT(AA$115, $A154-AA$129, AA$116, -AA$126), -3)))</f>
        <v>0</v>
      </c>
      <c r="AB154" s="15">
        <f>IF(OR(AB$126=0, $A154-AB$129&gt;AB$116, NOT($A154-AB$129&gt;0)), 0, IF($A154-AB$129=AB$116, AB$126-SUM(AB$131:AB153), ROUND(PPMT(AB$115, $A154-AB$129, AB$116, -AB$126), -3)))</f>
        <v>0</v>
      </c>
      <c r="AC154" s="15">
        <f>IF(OR(AC$126=0, $A154-AC$129&gt;AC$116, NOT($A154-AC$129&gt;0)), 0, IF($A154-AC$129=AC$116, AC$126-SUM(AC$131:AC153), ROUND(PPMT(AC$115, $A154-AC$129, AC$116, -AC$126), -3)))</f>
        <v>0</v>
      </c>
      <c r="AD154" s="15">
        <f>IF(OR(AD$126=0, $A154-AD$129&gt;AD$116, NOT($A154-AD$129&gt;0)), 0, IF($A154-AD$129=AD$116, AD$126-SUM(AD$131:AD153), ROUND(PPMT(AD$115, $A154-AD$129, AD$116, -AD$126), -3)))</f>
        <v>0</v>
      </c>
      <c r="AE154" s="15">
        <f>IF(OR(AE$126=0, $A154-AE$129&gt;AE$116, NOT($A154-AE$129&gt;0)), 0, IF($A154-AE$129=AE$116, AE$126-SUM(AE$131:AE153), ROUND(PPMT(AE$115, $A154-AE$129, AE$116, -AE$126), -3)))</f>
        <v>0</v>
      </c>
      <c r="AF154" s="15">
        <f>IF(OR(AF$126=0, $A154-AF$129&gt;AF$116, NOT($A154-AF$129&gt;0)), 0, IF($A154-AF$129=AF$116, AF$126-SUM(AF$131:AF153), ROUND(PPMT(AF$115, $A154-AF$129, AF$116, -AF$126), -3)))</f>
        <v>0</v>
      </c>
      <c r="AG154" s="15">
        <f>IF(OR(AG$126=0, $A154-AG$129&gt;AG$116, NOT($A154-AG$129&gt;0)), 0, IF($A154-AG$129=AG$116, AG$126-SUM(AG$131:AG153), ROUND(PPMT(AG$115, $A154-AG$129, AG$116, -AG$126), -3)))</f>
        <v>0</v>
      </c>
      <c r="AH154" s="15">
        <f>IF(OR(AH$126=0, $A154-AH$129&gt;AH$116, NOT($A154-AH$129&gt;0)), 0, IF($A154-AH$129=AH$116, AH$126-SUM(AH$131:AH153), ROUND(PPMT(AH$115, $A154-AH$129, AH$116, -AH$126), -3)))</f>
        <v>0</v>
      </c>
      <c r="AI154" s="15">
        <f>IF(OR(AI$126=0, $A154-AI$129&gt;AI$116, NOT($A154-AI$129&gt;0)), 0, IF($A154-AI$129=AI$116, AI$126-SUM(AI$131:AI153), ROUND(PPMT(AI$115, $A154-AI$129, AI$116, -AI$126), -3)))</f>
        <v>0</v>
      </c>
      <c r="AJ154" s="15">
        <f>IF(OR(AJ$126=0, $A154-AJ$129&gt;AJ$116, NOT($A154-AJ$129&gt;0)), 0, IF($A154-AJ$129=AJ$116, AJ$126-SUM(AJ$131:AJ153), ROUND(PPMT(AJ$115, $A154-AJ$129, AJ$116, -AJ$126), -3)))</f>
        <v>0</v>
      </c>
      <c r="AK154" s="15">
        <f>IF(OR(AK$126=0, $A154-AK$129&gt;AK$116, NOT($A154-AK$129&gt;0)), 0, IF($A154-AK$129=AK$116, AK$126-SUM(AK$131:AK153), ROUND(PPMT(AK$115, $A154-AK$129, AK$116, -AK$126), -3)))</f>
        <v>0</v>
      </c>
      <c r="AL154" s="15">
        <f>IF(OR(AL$126=0, $A154-AL$129&gt;AL$116, NOT($A154-AL$129&gt;0)), 0, IF($A154-AL$129=AL$116, AL$126-SUM(AL$131:AL153), ROUND(PPMT(AL$115, $A154-AL$129, AL$116, -AL$126), -3)))</f>
        <v>0</v>
      </c>
      <c r="AM154" s="15">
        <f>IF(OR(AM$126=0, $A154-AM$129&gt;AM$116, NOT($A154-AM$129&gt;0)), 0, IF($A154-AM$129=AM$116, AM$126-SUM(AM$131:AM153), ROUND(PPMT(AM$115, $A154-AM$129, AM$116, -AM$126), -3)))</f>
        <v>0</v>
      </c>
    </row>
    <row r="155" spans="1:39" outlineLevel="1">
      <c r="A155" s="40">
        <f t="shared" si="105"/>
        <v>2048</v>
      </c>
      <c r="B155" s="46"/>
      <c r="C155" s="15">
        <f>IF(OR(C$126=0, $A155-C$129&gt;C$116, NOT($A155-C$129&gt;0)), 0, IF($A155-C$129=C$116, C$126-SUM(C$131:C154), ROUND(PPMT(C$115, $A155-C$129, C$116, -C$126), -3)))</f>
        <v>0</v>
      </c>
      <c r="D155" s="15">
        <f>IF(OR(D$126=0, $A155-D$129&gt;D$116, NOT($A155-D$129&gt;0)), 0, IF($A155-D$129=D$116, D$126-SUM(D$131:D154), ROUND(PPMT(D$115, $A155-D$129, D$116, -D$126), -3)))</f>
        <v>0</v>
      </c>
      <c r="E155" s="15">
        <f>IF(OR(E$126=0, $A155-E$129&gt;E$116, NOT($A155-E$129&gt;0)), 0, IF($A155-E$129=E$116, E$126-SUM(E$131:E154), ROUND(PPMT(E$115, $A155-E$129, E$116, -E$126), -3)))</f>
        <v>0</v>
      </c>
      <c r="F155" s="46">
        <f>IF(OR(F$126=0, $A155-F$129&gt;F$116, NOT($A155-F$129&gt;0)), 0, IF($A155-F$129=F$116, F$126-SUM(F$131:F154), ROUND(PPMT(F$115, $A155-F$129, F$116, -F$126), -3)))</f>
        <v>0</v>
      </c>
      <c r="G155" s="15">
        <f>IF(OR(G$126=0, $A155-G$129&gt;G$116, NOT($A155-G$129&gt;0)), 0, IF($A155-G$129=G$116, G$126-SUM(G$131:G154), ROUND(PPMT(G$115, $A155-G$129, G$116, -G$126), -3)))</f>
        <v>0</v>
      </c>
      <c r="H155" s="15">
        <f>IF(OR(H$126=0, $A155-H$129&gt;H$116, NOT($A155-H$129&gt;0)), 0, IF($A155-H$129=H$116, H$126-SUM(H$131:H154), ROUND(PPMT(H$115, $A155-H$129, H$116, -H$126), -3)))</f>
        <v>0</v>
      </c>
      <c r="I155" s="15">
        <f>IF(OR(I$126=0, $A155-I$129&gt;I$116, NOT($A155-I$129&gt;0)), 0, IF($A155-I$129=I$116, I$126-SUM(I$131:I154), ROUND(PPMT(I$115, $A155-I$129, I$116, -I$126), -3)))</f>
        <v>4678000</v>
      </c>
      <c r="J155" s="15">
        <f>IF(OR(J$126=0, $A155-J$129&gt;J$116, NOT($A155-J$129&gt;0)), 0, IF($A155-J$129=J$116, J$126-SUM(J$131:J154), ROUND(PPMT(J$115, $A155-J$129, J$116, -J$126), -3)))</f>
        <v>0</v>
      </c>
      <c r="K155" s="15">
        <f>IF(OR(K$126=0, $A155-K$129&gt;K$116, NOT($A155-K$129&gt;0)), 0, IF($A155-K$129=K$116, K$126-SUM(K$131:K154), ROUND(PPMT(K$115, $A155-K$129, K$116, -K$126), -3)))</f>
        <v>0</v>
      </c>
      <c r="L155" s="15">
        <f>IF(OR(L$126=0, $A155-L$129&gt;L$116, NOT($A155-L$129&gt;0)), 0, IF($A155-L$129=L$116, L$126-SUM(L$131:L154), ROUND(PPMT(L$115, $A155-L$129, L$116, -L$126), -3)))</f>
        <v>0</v>
      </c>
      <c r="M155" s="15">
        <f>IF(OR(M$126=0, $A155-M$129&gt;M$116, NOT($A155-M$129&gt;0)), 0, IF($A155-M$129=M$116, M$126-SUM(M$131:M154), ROUND(PPMT(M$115, $A155-M$129, M$116, -M$126), -3)))</f>
        <v>1285000</v>
      </c>
      <c r="N155" s="15">
        <f>IF(OR(N$126=0, $A155-N$129&gt;N$116, NOT($A155-N$129&gt;0)), 0, IF($A155-N$129=N$116, N$126-SUM(N$131:N154), ROUND(PPMT(N$115, $A155-N$129, N$116, -N$126), -3)))</f>
        <v>0</v>
      </c>
      <c r="O155" s="15">
        <f>IF(OR(O$126=0, $A155-O$129&gt;O$116, NOT($A155-O$129&gt;0)), 0, IF($A155-O$129=O$116, O$126-SUM(O$131:O154), ROUND(PPMT(O$115, $A155-O$129, O$116, -O$126), -3)))</f>
        <v>2590000</v>
      </c>
      <c r="P155" s="15">
        <f>IF(OR(P$126=0, $A155-P$129&gt;P$116, NOT($A155-P$129&gt;0)), 0, IF($A155-P$129=P$116, P$126-SUM(P$131:P154), ROUND(PPMT(P$115, $A155-P$129, P$116, -P$126), -3)))</f>
        <v>0</v>
      </c>
      <c r="Q155" s="15">
        <f>IF(OR(Q$126=0, $A155-Q$129&gt;Q$116, NOT($A155-Q$129&gt;0)), 0, IF($A155-Q$129=Q$116, Q$126-SUM(Q$131:Q154), ROUND(PPMT(Q$115, $A155-Q$129, Q$116, -Q$126), -3)))</f>
        <v>2667000</v>
      </c>
      <c r="R155" s="15">
        <f>IF(OR(R$126=0, $A155-R$129&gt;R$116, NOT($A155-R$129&gt;0)), 0, IF($A155-R$129=R$116, R$126-SUM(R$131:R154), ROUND(PPMT(R$115, $A155-R$129, R$116, -R$126), -3)))</f>
        <v>2565000</v>
      </c>
      <c r="S155" s="15">
        <f>IF(OR(S$126=0, $A155-S$129&gt;S$116, NOT($A155-S$129&gt;0)), 0, IF($A155-S$129=S$116, S$126-SUM(S$131:S154), ROUND(PPMT(S$115, $A155-S$129, S$116, -S$126), -3)))</f>
        <v>2593000</v>
      </c>
      <c r="T155" s="15">
        <f>IF(OR(T$126=0, $A155-T$129&gt;T$116, NOT($A155-T$129&gt;0)), 0, IF($A155-T$129=T$116, T$126-SUM(T$131:T154), ROUND(PPMT(T$115, $A155-T$129, T$116, -T$126), -3)))</f>
        <v>2542000</v>
      </c>
      <c r="U155" s="15">
        <f>IF(OR(U$126=0, $A155-U$129&gt;U$116, NOT($A155-U$129&gt;0)), 0, IF($A155-U$129=U$116, U$126-SUM(U$131:U154), ROUND(PPMT(U$115, $A155-U$129, U$116, -U$126), -3)))</f>
        <v>0</v>
      </c>
      <c r="V155" s="15">
        <f>IF(OR(V$126=0, $A155-V$129&gt;V$116, NOT($A155-V$129&gt;0)), 0, IF($A155-V$129=V$116, V$126-SUM(V$131:V154), ROUND(PPMT(V$115, $A155-V$129, V$116, -V$126), -3)))</f>
        <v>2926000</v>
      </c>
      <c r="W155" s="15">
        <f>IF(OR(W$126=0, $A155-W$129&gt;W$116, NOT($A155-W$129&gt;0)), 0, IF($A155-W$129=W$116, W$126-SUM(W$131:W154), ROUND(PPMT(W$115, $A155-W$129, W$116, -W$126), -3)))</f>
        <v>3028000</v>
      </c>
      <c r="X155" s="15">
        <f>IF(OR(X$126=0, $A155-X$129&gt;X$116, NOT($A155-X$129&gt;0)), 0, IF($A155-X$129=X$116, X$126-SUM(X$131:X154), ROUND(PPMT(X$115, $A155-X$129, X$116, -X$126), -3)))</f>
        <v>2838000</v>
      </c>
      <c r="Y155" s="15">
        <f>IF(OR(Y$126=0, $A155-Y$129&gt;Y$116, NOT($A155-Y$129&gt;0)), 0, IF($A155-Y$129=Y$116, Y$126-SUM(Y$131:Y154), ROUND(PPMT(Y$115, $A155-Y$129, Y$116, -Y$126), -3)))</f>
        <v>0</v>
      </c>
      <c r="Z155" s="15">
        <f>IF(OR(Z$126=0, $A155-Z$129&gt;Z$116, NOT($A155-Z$129&gt;0)), 0, IF($A155-Z$129=Z$116, Z$126-SUM(Z$131:Z154), ROUND(PPMT(Z$115, $A155-Z$129, Z$116, -Z$126), -3)))</f>
        <v>0</v>
      </c>
      <c r="AA155" s="15">
        <f>IF(OR(AA$126=0, $A155-AA$129&gt;AA$116, NOT($A155-AA$129&gt;0)), 0, IF($A155-AA$129=AA$116, AA$126-SUM(AA$131:AA154), ROUND(PPMT(AA$115, $A155-AA$129, AA$116, -AA$126), -3)))</f>
        <v>0</v>
      </c>
      <c r="AB155" s="15">
        <f>IF(OR(AB$126=0, $A155-AB$129&gt;AB$116, NOT($A155-AB$129&gt;0)), 0, IF($A155-AB$129=AB$116, AB$126-SUM(AB$131:AB154), ROUND(PPMT(AB$115, $A155-AB$129, AB$116, -AB$126), -3)))</f>
        <v>0</v>
      </c>
      <c r="AC155" s="15">
        <f>IF(OR(AC$126=0, $A155-AC$129&gt;AC$116, NOT($A155-AC$129&gt;0)), 0, IF($A155-AC$129=AC$116, AC$126-SUM(AC$131:AC154), ROUND(PPMT(AC$115, $A155-AC$129, AC$116, -AC$126), -3)))</f>
        <v>0</v>
      </c>
      <c r="AD155" s="15">
        <f>IF(OR(AD$126=0, $A155-AD$129&gt;AD$116, NOT($A155-AD$129&gt;0)), 0, IF($A155-AD$129=AD$116, AD$126-SUM(AD$131:AD154), ROUND(PPMT(AD$115, $A155-AD$129, AD$116, -AD$126), -3)))</f>
        <v>0</v>
      </c>
      <c r="AE155" s="15">
        <f>IF(OR(AE$126=0, $A155-AE$129&gt;AE$116, NOT($A155-AE$129&gt;0)), 0, IF($A155-AE$129=AE$116, AE$126-SUM(AE$131:AE154), ROUND(PPMT(AE$115, $A155-AE$129, AE$116, -AE$126), -3)))</f>
        <v>0</v>
      </c>
      <c r="AF155" s="15">
        <f>IF(OR(AF$126=0, $A155-AF$129&gt;AF$116, NOT($A155-AF$129&gt;0)), 0, IF($A155-AF$129=AF$116, AF$126-SUM(AF$131:AF154), ROUND(PPMT(AF$115, $A155-AF$129, AF$116, -AF$126), -3)))</f>
        <v>0</v>
      </c>
      <c r="AG155" s="15">
        <f>IF(OR(AG$126=0, $A155-AG$129&gt;AG$116, NOT($A155-AG$129&gt;0)), 0, IF($A155-AG$129=AG$116, AG$126-SUM(AG$131:AG154), ROUND(PPMT(AG$115, $A155-AG$129, AG$116, -AG$126), -3)))</f>
        <v>0</v>
      </c>
      <c r="AH155" s="15">
        <f>IF(OR(AH$126=0, $A155-AH$129&gt;AH$116, NOT($A155-AH$129&gt;0)), 0, IF($A155-AH$129=AH$116, AH$126-SUM(AH$131:AH154), ROUND(PPMT(AH$115, $A155-AH$129, AH$116, -AH$126), -3)))</f>
        <v>0</v>
      </c>
      <c r="AI155" s="15">
        <f>IF(OR(AI$126=0, $A155-AI$129&gt;AI$116, NOT($A155-AI$129&gt;0)), 0, IF($A155-AI$129=AI$116, AI$126-SUM(AI$131:AI154), ROUND(PPMT(AI$115, $A155-AI$129, AI$116, -AI$126), -3)))</f>
        <v>0</v>
      </c>
      <c r="AJ155" s="15">
        <f>IF(OR(AJ$126=0, $A155-AJ$129&gt;AJ$116, NOT($A155-AJ$129&gt;0)), 0, IF($A155-AJ$129=AJ$116, AJ$126-SUM(AJ$131:AJ154), ROUND(PPMT(AJ$115, $A155-AJ$129, AJ$116, -AJ$126), -3)))</f>
        <v>0</v>
      </c>
      <c r="AK155" s="15">
        <f>IF(OR(AK$126=0, $A155-AK$129&gt;AK$116, NOT($A155-AK$129&gt;0)), 0, IF($A155-AK$129=AK$116, AK$126-SUM(AK$131:AK154), ROUND(PPMT(AK$115, $A155-AK$129, AK$116, -AK$126), -3)))</f>
        <v>0</v>
      </c>
      <c r="AL155" s="15">
        <f>IF(OR(AL$126=0, $A155-AL$129&gt;AL$116, NOT($A155-AL$129&gt;0)), 0, IF($A155-AL$129=AL$116, AL$126-SUM(AL$131:AL154), ROUND(PPMT(AL$115, $A155-AL$129, AL$116, -AL$126), -3)))</f>
        <v>0</v>
      </c>
      <c r="AM155" s="15">
        <f>IF(OR(AM$126=0, $A155-AM$129&gt;AM$116, NOT($A155-AM$129&gt;0)), 0, IF($A155-AM$129=AM$116, AM$126-SUM(AM$131:AM154), ROUND(PPMT(AM$115, $A155-AM$129, AM$116, -AM$126), -3)))</f>
        <v>0</v>
      </c>
    </row>
    <row r="156" spans="1:39" outlineLevel="1">
      <c r="A156" s="40">
        <f t="shared" si="105"/>
        <v>2049</v>
      </c>
      <c r="B156" s="46"/>
      <c r="C156" s="15">
        <f>IF(OR(C$126=0, $A156-C$129&gt;C$116, NOT($A156-C$129&gt;0)), 0, IF($A156-C$129=C$116, C$126-SUM(C$131:C155), ROUND(PPMT(C$115, $A156-C$129, C$116, -C$126), -3)))</f>
        <v>0</v>
      </c>
      <c r="D156" s="15">
        <f>IF(OR(D$126=0, $A156-D$129&gt;D$116, NOT($A156-D$129&gt;0)), 0, IF($A156-D$129=D$116, D$126-SUM(D$131:D155), ROUND(PPMT(D$115, $A156-D$129, D$116, -D$126), -3)))</f>
        <v>0</v>
      </c>
      <c r="E156" s="15">
        <f>IF(OR(E$126=0, $A156-E$129&gt;E$116, NOT($A156-E$129&gt;0)), 0, IF($A156-E$129=E$116, E$126-SUM(E$131:E155), ROUND(PPMT(E$115, $A156-E$129, E$116, -E$126), -3)))</f>
        <v>0</v>
      </c>
      <c r="F156" s="46">
        <f>IF(OR(F$126=0, $A156-F$129&gt;F$116, NOT($A156-F$129&gt;0)), 0, IF($A156-F$129=F$116, F$126-SUM(F$131:F155), ROUND(PPMT(F$115, $A156-F$129, F$116, -F$126), -3)))</f>
        <v>0</v>
      </c>
      <c r="G156" s="15">
        <f>IF(OR(G$126=0, $A156-G$129&gt;G$116, NOT($A156-G$129&gt;0)), 0, IF($A156-G$129=G$116, G$126-SUM(G$131:G155), ROUND(PPMT(G$115, $A156-G$129, G$116, -G$126), -3)))</f>
        <v>0</v>
      </c>
      <c r="H156" s="15">
        <f>IF(OR(H$126=0, $A156-H$129&gt;H$116, NOT($A156-H$129&gt;0)), 0, IF($A156-H$129=H$116, H$126-SUM(H$131:H155), ROUND(PPMT(H$115, $A156-H$129, H$116, -H$126), -3)))</f>
        <v>0</v>
      </c>
      <c r="I156" s="15">
        <f>IF(OR(I$126=0, $A156-I$129&gt;I$116, NOT($A156-I$129&gt;0)), 0, IF($A156-I$129=I$116, I$126-SUM(I$131:I155), ROUND(PPMT(I$115, $A156-I$129, I$116, -I$126), -3)))</f>
        <v>4935000</v>
      </c>
      <c r="J156" s="15">
        <f>IF(OR(J$126=0, $A156-J$129&gt;J$116, NOT($A156-J$129&gt;0)), 0, IF($A156-J$129=J$116, J$126-SUM(J$131:J155), ROUND(PPMT(J$115, $A156-J$129, J$116, -J$126), -3)))</f>
        <v>0</v>
      </c>
      <c r="K156" s="15">
        <f>IF(OR(K$126=0, $A156-K$129&gt;K$116, NOT($A156-K$129&gt;0)), 0, IF($A156-K$129=K$116, K$126-SUM(K$131:K155), ROUND(PPMT(K$115, $A156-K$129, K$116, -K$126), -3)))</f>
        <v>0</v>
      </c>
      <c r="L156" s="15">
        <f>IF(OR(L$126=0, $A156-L$129&gt;L$116, NOT($A156-L$129&gt;0)), 0, IF($A156-L$129=L$116, L$126-SUM(L$131:L155), ROUND(PPMT(L$115, $A156-L$129, L$116, -L$126), -3)))</f>
        <v>0</v>
      </c>
      <c r="M156" s="15">
        <f>IF(OR(M$126=0, $A156-M$129&gt;M$116, NOT($A156-M$129&gt;0)), 0, IF($A156-M$129=M$116, M$126-SUM(M$131:M155), ROUND(PPMT(M$115, $A156-M$129, M$116, -M$126), -3)))</f>
        <v>1355000</v>
      </c>
      <c r="N156" s="15">
        <f>IF(OR(N$126=0, $A156-N$129&gt;N$116, NOT($A156-N$129&gt;0)), 0, IF($A156-N$129=N$116, N$126-SUM(N$131:N155), ROUND(PPMT(N$115, $A156-N$129, N$116, -N$126), -3)))</f>
        <v>0</v>
      </c>
      <c r="O156" s="15">
        <f>IF(OR(O$126=0, $A156-O$129&gt;O$116, NOT($A156-O$129&gt;0)), 0, IF($A156-O$129=O$116, O$126-SUM(O$131:O155), ROUND(PPMT(O$115, $A156-O$129, O$116, -O$126), -3)))</f>
        <v>2733000</v>
      </c>
      <c r="P156" s="15">
        <f>IF(OR(P$126=0, $A156-P$129&gt;P$116, NOT($A156-P$129&gt;0)), 0, IF($A156-P$129=P$116, P$126-SUM(P$131:P155), ROUND(PPMT(P$115, $A156-P$129, P$116, -P$126), -3)))</f>
        <v>0</v>
      </c>
      <c r="Q156" s="15">
        <f>IF(OR(Q$126=0, $A156-Q$129&gt;Q$116, NOT($A156-Q$129&gt;0)), 0, IF($A156-Q$129=Q$116, Q$126-SUM(Q$131:Q155), ROUND(PPMT(Q$115, $A156-Q$129, Q$116, -Q$126), -3)))</f>
        <v>2814000</v>
      </c>
      <c r="R156" s="15">
        <f>IF(OR(R$126=0, $A156-R$129&gt;R$116, NOT($A156-R$129&gt;0)), 0, IF($A156-R$129=R$116, R$126-SUM(R$131:R155), ROUND(PPMT(R$115, $A156-R$129, R$116, -R$126), -3)))</f>
        <v>2706000</v>
      </c>
      <c r="S156" s="15">
        <f>IF(OR(S$126=0, $A156-S$129&gt;S$116, NOT($A156-S$129&gt;0)), 0, IF($A156-S$129=S$116, S$126-SUM(S$131:S155), ROUND(PPMT(S$115, $A156-S$129, S$116, -S$126), -3)))</f>
        <v>2736000</v>
      </c>
      <c r="T156" s="15">
        <f>IF(OR(T$126=0, $A156-T$129&gt;T$116, NOT($A156-T$129&gt;0)), 0, IF($A156-T$129=T$116, T$126-SUM(T$131:T155), ROUND(PPMT(T$115, $A156-T$129, T$116, -T$126), -3)))</f>
        <v>2682000</v>
      </c>
      <c r="U156" s="15">
        <f>IF(OR(U$126=0, $A156-U$129&gt;U$116, NOT($A156-U$129&gt;0)), 0, IF($A156-U$129=U$116, U$126-SUM(U$131:U155), ROUND(PPMT(U$115, $A156-U$129, U$116, -U$126), -3)))</f>
        <v>0</v>
      </c>
      <c r="V156" s="15">
        <f>IF(OR(V$126=0, $A156-V$129&gt;V$116, NOT($A156-V$129&gt;0)), 0, IF($A156-V$129=V$116, V$126-SUM(V$131:V155), ROUND(PPMT(V$115, $A156-V$129, V$116, -V$126), -3)))</f>
        <v>3073000</v>
      </c>
      <c r="W156" s="15">
        <f>IF(OR(W$126=0, $A156-W$129&gt;W$116, NOT($A156-W$129&gt;0)), 0, IF($A156-W$129=W$116, W$126-SUM(W$131:W155), ROUND(PPMT(W$115, $A156-W$129, W$116, -W$126), -3)))</f>
        <v>3180000</v>
      </c>
      <c r="X156" s="15">
        <f>IF(OR(X$126=0, $A156-X$129&gt;X$116, NOT($A156-X$129&gt;0)), 0, IF($A156-X$129=X$116, X$126-SUM(X$131:X155), ROUND(PPMT(X$115, $A156-X$129, X$116, -X$126), -3)))</f>
        <v>2980000</v>
      </c>
      <c r="Y156" s="15">
        <f>IF(OR(Y$126=0, $A156-Y$129&gt;Y$116, NOT($A156-Y$129&gt;0)), 0, IF($A156-Y$129=Y$116, Y$126-SUM(Y$131:Y155), ROUND(PPMT(Y$115, $A156-Y$129, Y$116, -Y$126), -3)))</f>
        <v>0</v>
      </c>
      <c r="Z156" s="15">
        <f>IF(OR(Z$126=0, $A156-Z$129&gt;Z$116, NOT($A156-Z$129&gt;0)), 0, IF($A156-Z$129=Z$116, Z$126-SUM(Z$131:Z155), ROUND(PPMT(Z$115, $A156-Z$129, Z$116, -Z$126), -3)))</f>
        <v>0</v>
      </c>
      <c r="AA156" s="15">
        <f>IF(OR(AA$126=0, $A156-AA$129&gt;AA$116, NOT($A156-AA$129&gt;0)), 0, IF($A156-AA$129=AA$116, AA$126-SUM(AA$131:AA155), ROUND(PPMT(AA$115, $A156-AA$129, AA$116, -AA$126), -3)))</f>
        <v>0</v>
      </c>
      <c r="AB156" s="15">
        <f>IF(OR(AB$126=0, $A156-AB$129&gt;AB$116, NOT($A156-AB$129&gt;0)), 0, IF($A156-AB$129=AB$116, AB$126-SUM(AB$131:AB155), ROUND(PPMT(AB$115, $A156-AB$129, AB$116, -AB$126), -3)))</f>
        <v>0</v>
      </c>
      <c r="AC156" s="15">
        <f>IF(OR(AC$126=0, $A156-AC$129&gt;AC$116, NOT($A156-AC$129&gt;0)), 0, IF($A156-AC$129=AC$116, AC$126-SUM(AC$131:AC155), ROUND(PPMT(AC$115, $A156-AC$129, AC$116, -AC$126), -3)))</f>
        <v>0</v>
      </c>
      <c r="AD156" s="15">
        <f>IF(OR(AD$126=0, $A156-AD$129&gt;AD$116, NOT($A156-AD$129&gt;0)), 0, IF($A156-AD$129=AD$116, AD$126-SUM(AD$131:AD155), ROUND(PPMT(AD$115, $A156-AD$129, AD$116, -AD$126), -3)))</f>
        <v>0</v>
      </c>
      <c r="AE156" s="15">
        <f>IF(OR(AE$126=0, $A156-AE$129&gt;AE$116, NOT($A156-AE$129&gt;0)), 0, IF($A156-AE$129=AE$116, AE$126-SUM(AE$131:AE155), ROUND(PPMT(AE$115, $A156-AE$129, AE$116, -AE$126), -3)))</f>
        <v>0</v>
      </c>
      <c r="AF156" s="15">
        <f>IF(OR(AF$126=0, $A156-AF$129&gt;AF$116, NOT($A156-AF$129&gt;0)), 0, IF($A156-AF$129=AF$116, AF$126-SUM(AF$131:AF155), ROUND(PPMT(AF$115, $A156-AF$129, AF$116, -AF$126), -3)))</f>
        <v>0</v>
      </c>
      <c r="AG156" s="15">
        <f>IF(OR(AG$126=0, $A156-AG$129&gt;AG$116, NOT($A156-AG$129&gt;0)), 0, IF($A156-AG$129=AG$116, AG$126-SUM(AG$131:AG155), ROUND(PPMT(AG$115, $A156-AG$129, AG$116, -AG$126), -3)))</f>
        <v>0</v>
      </c>
      <c r="AH156" s="15">
        <f>IF(OR(AH$126=0, $A156-AH$129&gt;AH$116, NOT($A156-AH$129&gt;0)), 0, IF($A156-AH$129=AH$116, AH$126-SUM(AH$131:AH155), ROUND(PPMT(AH$115, $A156-AH$129, AH$116, -AH$126), -3)))</f>
        <v>0</v>
      </c>
      <c r="AI156" s="15">
        <f>IF(OR(AI$126=0, $A156-AI$129&gt;AI$116, NOT($A156-AI$129&gt;0)), 0, IF($A156-AI$129=AI$116, AI$126-SUM(AI$131:AI155), ROUND(PPMT(AI$115, $A156-AI$129, AI$116, -AI$126), -3)))</f>
        <v>0</v>
      </c>
      <c r="AJ156" s="15">
        <f>IF(OR(AJ$126=0, $A156-AJ$129&gt;AJ$116, NOT($A156-AJ$129&gt;0)), 0, IF($A156-AJ$129=AJ$116, AJ$126-SUM(AJ$131:AJ155), ROUND(PPMT(AJ$115, $A156-AJ$129, AJ$116, -AJ$126), -3)))</f>
        <v>0</v>
      </c>
      <c r="AK156" s="15">
        <f>IF(OR(AK$126=0, $A156-AK$129&gt;AK$116, NOT($A156-AK$129&gt;0)), 0, IF($A156-AK$129=AK$116, AK$126-SUM(AK$131:AK155), ROUND(PPMT(AK$115, $A156-AK$129, AK$116, -AK$126), -3)))</f>
        <v>0</v>
      </c>
      <c r="AL156" s="15">
        <f>IF(OR(AL$126=0, $A156-AL$129&gt;AL$116, NOT($A156-AL$129&gt;0)), 0, IF($A156-AL$129=AL$116, AL$126-SUM(AL$131:AL155), ROUND(PPMT(AL$115, $A156-AL$129, AL$116, -AL$126), -3)))</f>
        <v>0</v>
      </c>
      <c r="AM156" s="15">
        <f>IF(OR(AM$126=0, $A156-AM$129&gt;AM$116, NOT($A156-AM$129&gt;0)), 0, IF($A156-AM$129=AM$116, AM$126-SUM(AM$131:AM155), ROUND(PPMT(AM$115, $A156-AM$129, AM$116, -AM$126), -3)))</f>
        <v>0</v>
      </c>
    </row>
    <row r="157" spans="1:39" outlineLevel="1">
      <c r="A157" s="40">
        <f t="shared" si="105"/>
        <v>2050</v>
      </c>
      <c r="B157" s="46"/>
      <c r="C157" s="15">
        <f>IF(OR(C$126=0, $A157-C$129&gt;C$116, NOT($A157-C$129&gt;0)), 0, IF($A157-C$129=C$116, C$126-SUM(C$131:C156), ROUND(PPMT(C$115, $A157-C$129, C$116, -C$126), -3)))</f>
        <v>0</v>
      </c>
      <c r="D157" s="15">
        <f>IF(OR(D$126=0, $A157-D$129&gt;D$116, NOT($A157-D$129&gt;0)), 0, IF($A157-D$129=D$116, D$126-SUM(D$131:D156), ROUND(PPMT(D$115, $A157-D$129, D$116, -D$126), -3)))</f>
        <v>0</v>
      </c>
      <c r="E157" s="15">
        <f>IF(OR(E$126=0, $A157-E$129&gt;E$116, NOT($A157-E$129&gt;0)), 0, IF($A157-E$129=E$116, E$126-SUM(E$131:E156), ROUND(PPMT(E$115, $A157-E$129, E$116, -E$126), -3)))</f>
        <v>0</v>
      </c>
      <c r="F157" s="46">
        <f>IF(OR(F$126=0, $A157-F$129&gt;F$116, NOT($A157-F$129&gt;0)), 0, IF($A157-F$129=F$116, F$126-SUM(F$131:F156), ROUND(PPMT(F$115, $A157-F$129, F$116, -F$126), -3)))</f>
        <v>0</v>
      </c>
      <c r="G157" s="15">
        <f>IF(OR(G$126=0, $A157-G$129&gt;G$116, NOT($A157-G$129&gt;0)), 0, IF($A157-G$129=G$116, G$126-SUM(G$131:G156), ROUND(PPMT(G$115, $A157-G$129, G$116, -G$126), -3)))</f>
        <v>0</v>
      </c>
      <c r="H157" s="15">
        <f>IF(OR(H$126=0, $A157-H$129&gt;H$116, NOT($A157-H$129&gt;0)), 0, IF($A157-H$129=H$116, H$126-SUM(H$131:H156), ROUND(PPMT(H$115, $A157-H$129, H$116, -H$126), -3)))</f>
        <v>0</v>
      </c>
      <c r="I157" s="15">
        <f>IF(OR(I$126=0, $A157-I$129&gt;I$116, NOT($A157-I$129&gt;0)), 0, IF($A157-I$129=I$116, I$126-SUM(I$131:I156), ROUND(PPMT(I$115, $A157-I$129, I$116, -I$126), -3)))</f>
        <v>5207000</v>
      </c>
      <c r="J157" s="15">
        <f>IF(OR(J$126=0, $A157-J$129&gt;J$116, NOT($A157-J$129&gt;0)), 0, IF($A157-J$129=J$116, J$126-SUM(J$131:J156), ROUND(PPMT(J$115, $A157-J$129, J$116, -J$126), -3)))</f>
        <v>0</v>
      </c>
      <c r="K157" s="15">
        <f>IF(OR(K$126=0, $A157-K$129&gt;K$116, NOT($A157-K$129&gt;0)), 0, IF($A157-K$129=K$116, K$126-SUM(K$131:K156), ROUND(PPMT(K$115, $A157-K$129, K$116, -K$126), -3)))</f>
        <v>0</v>
      </c>
      <c r="L157" s="15">
        <f>IF(OR(L$126=0, $A157-L$129&gt;L$116, NOT($A157-L$129&gt;0)), 0, IF($A157-L$129=L$116, L$126-SUM(L$131:L156), ROUND(PPMT(L$115, $A157-L$129, L$116, -L$126), -3)))</f>
        <v>0</v>
      </c>
      <c r="M157" s="15">
        <f>IF(OR(M$126=0, $A157-M$129&gt;M$116, NOT($A157-M$129&gt;0)), 0, IF($A157-M$129=M$116, M$126-SUM(M$131:M156), ROUND(PPMT(M$115, $A157-M$129, M$116, -M$126), -3)))</f>
        <v>1430000</v>
      </c>
      <c r="N157" s="15">
        <f>IF(OR(N$126=0, $A157-N$129&gt;N$116, NOT($A157-N$129&gt;0)), 0, IF($A157-N$129=N$116, N$126-SUM(N$131:N156), ROUND(PPMT(N$115, $A157-N$129, N$116, -N$126), -3)))</f>
        <v>0</v>
      </c>
      <c r="O157" s="15">
        <f>IF(OR(O$126=0, $A157-O$129&gt;O$116, NOT($A157-O$129&gt;0)), 0, IF($A157-O$129=O$116, O$126-SUM(O$131:O156), ROUND(PPMT(O$115, $A157-O$129, O$116, -O$126), -3)))</f>
        <v>2883000</v>
      </c>
      <c r="P157" s="15">
        <f>IF(OR(P$126=0, $A157-P$129&gt;P$116, NOT($A157-P$129&gt;0)), 0, IF($A157-P$129=P$116, P$126-SUM(P$131:P156), ROUND(PPMT(P$115, $A157-P$129, P$116, -P$126), -3)))</f>
        <v>0</v>
      </c>
      <c r="Q157" s="15">
        <f>IF(OR(Q$126=0, $A157-Q$129&gt;Q$116, NOT($A157-Q$129&gt;0)), 0, IF($A157-Q$129=Q$116, Q$126-SUM(Q$131:Q156), ROUND(PPMT(Q$115, $A157-Q$129, Q$116, -Q$126), -3)))</f>
        <v>2968000</v>
      </c>
      <c r="R157" s="15">
        <f>IF(OR(R$126=0, $A157-R$129&gt;R$116, NOT($A157-R$129&gt;0)), 0, IF($A157-R$129=R$116, R$126-SUM(R$131:R156), ROUND(PPMT(R$115, $A157-R$129, R$116, -R$126), -3)))</f>
        <v>2855000</v>
      </c>
      <c r="S157" s="15">
        <f>IF(OR(S$126=0, $A157-S$129&gt;S$116, NOT($A157-S$129&gt;0)), 0, IF($A157-S$129=S$116, S$126-SUM(S$131:S156), ROUND(PPMT(S$115, $A157-S$129, S$116, -S$126), -3)))</f>
        <v>2886000</v>
      </c>
      <c r="T157" s="15">
        <f>IF(OR(T$126=0, $A157-T$129&gt;T$116, NOT($A157-T$129&gt;0)), 0, IF($A157-T$129=T$116, T$126-SUM(T$131:T156), ROUND(PPMT(T$115, $A157-T$129, T$116, -T$126), -3)))</f>
        <v>2830000</v>
      </c>
      <c r="U157" s="15">
        <f>IF(OR(U$126=0, $A157-U$129&gt;U$116, NOT($A157-U$129&gt;0)), 0, IF($A157-U$129=U$116, U$126-SUM(U$131:U156), ROUND(PPMT(U$115, $A157-U$129, U$116, -U$126), -3)))</f>
        <v>0</v>
      </c>
      <c r="V157" s="15">
        <f>IF(OR(V$126=0, $A157-V$129&gt;V$116, NOT($A157-V$129&gt;0)), 0, IF($A157-V$129=V$116, V$126-SUM(V$131:V156), ROUND(PPMT(V$115, $A157-V$129, V$116, -V$126), -3)))</f>
        <v>3226000</v>
      </c>
      <c r="W157" s="15">
        <f>IF(OR(W$126=0, $A157-W$129&gt;W$116, NOT($A157-W$129&gt;0)), 0, IF($A157-W$129=W$116, W$126-SUM(W$131:W156), ROUND(PPMT(W$115, $A157-W$129, W$116, -W$126), -3)))</f>
        <v>3339000</v>
      </c>
      <c r="X157" s="15">
        <f>IF(OR(X$126=0, $A157-X$129&gt;X$116, NOT($A157-X$129&gt;0)), 0, IF($A157-X$129=X$116, X$126-SUM(X$131:X156), ROUND(PPMT(X$115, $A157-X$129, X$116, -X$126), -3)))</f>
        <v>3129000</v>
      </c>
      <c r="Y157" s="15">
        <f>IF(OR(Y$126=0, $A157-Y$129&gt;Y$116, NOT($A157-Y$129&gt;0)), 0, IF($A157-Y$129=Y$116, Y$126-SUM(Y$131:Y156), ROUND(PPMT(Y$115, $A157-Y$129, Y$116, -Y$126), -3)))</f>
        <v>0</v>
      </c>
      <c r="Z157" s="15">
        <f>IF(OR(Z$126=0, $A157-Z$129&gt;Z$116, NOT($A157-Z$129&gt;0)), 0, IF($A157-Z$129=Z$116, Z$126-SUM(Z$131:Z156), ROUND(PPMT(Z$115, $A157-Z$129, Z$116, -Z$126), -3)))</f>
        <v>0</v>
      </c>
      <c r="AA157" s="15">
        <f>IF(OR(AA$126=0, $A157-AA$129&gt;AA$116, NOT($A157-AA$129&gt;0)), 0, IF($A157-AA$129=AA$116, AA$126-SUM(AA$131:AA156), ROUND(PPMT(AA$115, $A157-AA$129, AA$116, -AA$126), -3)))</f>
        <v>0</v>
      </c>
      <c r="AB157" s="15">
        <f>IF(OR(AB$126=0, $A157-AB$129&gt;AB$116, NOT($A157-AB$129&gt;0)), 0, IF($A157-AB$129=AB$116, AB$126-SUM(AB$131:AB156), ROUND(PPMT(AB$115, $A157-AB$129, AB$116, -AB$126), -3)))</f>
        <v>4141000</v>
      </c>
      <c r="AC157" s="15">
        <f>IF(OR(AC$126=0, $A157-AC$129&gt;AC$116, NOT($A157-AC$129&gt;0)), 0, IF($A157-AC$129=AC$116, AC$126-SUM(AC$131:AC156), ROUND(PPMT(AC$115, $A157-AC$129, AC$116, -AC$126), -3)))</f>
        <v>0</v>
      </c>
      <c r="AD157" s="15">
        <f>IF(OR(AD$126=0, $A157-AD$129&gt;AD$116, NOT($A157-AD$129&gt;0)), 0, IF($A157-AD$129=AD$116, AD$126-SUM(AD$131:AD156), ROUND(PPMT(AD$115, $A157-AD$129, AD$116, -AD$126), -3)))</f>
        <v>0</v>
      </c>
      <c r="AE157" s="15">
        <f>IF(OR(AE$126=0, $A157-AE$129&gt;AE$116, NOT($A157-AE$129&gt;0)), 0, IF($A157-AE$129=AE$116, AE$126-SUM(AE$131:AE156), ROUND(PPMT(AE$115, $A157-AE$129, AE$116, -AE$126), -3)))</f>
        <v>0</v>
      </c>
      <c r="AF157" s="15">
        <f>IF(OR(AF$126=0, $A157-AF$129&gt;AF$116, NOT($A157-AF$129&gt;0)), 0, IF($A157-AF$129=AF$116, AF$126-SUM(AF$131:AF156), ROUND(PPMT(AF$115, $A157-AF$129, AF$116, -AF$126), -3)))</f>
        <v>0</v>
      </c>
      <c r="AG157" s="15">
        <f>IF(OR(AG$126=0, $A157-AG$129&gt;AG$116, NOT($A157-AG$129&gt;0)), 0, IF($A157-AG$129=AG$116, AG$126-SUM(AG$131:AG156), ROUND(PPMT(AG$115, $A157-AG$129, AG$116, -AG$126), -3)))</f>
        <v>0</v>
      </c>
      <c r="AH157" s="15">
        <f>IF(OR(AH$126=0, $A157-AH$129&gt;AH$116, NOT($A157-AH$129&gt;0)), 0, IF($A157-AH$129=AH$116, AH$126-SUM(AH$131:AH156), ROUND(PPMT(AH$115, $A157-AH$129, AH$116, -AH$126), -3)))</f>
        <v>0</v>
      </c>
      <c r="AI157" s="15">
        <f>IF(OR(AI$126=0, $A157-AI$129&gt;AI$116, NOT($A157-AI$129&gt;0)), 0, IF($A157-AI$129=AI$116, AI$126-SUM(AI$131:AI156), ROUND(PPMT(AI$115, $A157-AI$129, AI$116, -AI$126), -3)))</f>
        <v>0</v>
      </c>
      <c r="AJ157" s="15">
        <f>IF(OR(AJ$126=0, $A157-AJ$129&gt;AJ$116, NOT($A157-AJ$129&gt;0)), 0, IF($A157-AJ$129=AJ$116, AJ$126-SUM(AJ$131:AJ156), ROUND(PPMT(AJ$115, $A157-AJ$129, AJ$116, -AJ$126), -3)))</f>
        <v>0</v>
      </c>
      <c r="AK157" s="15">
        <f>IF(OR(AK$126=0, $A157-AK$129&gt;AK$116, NOT($A157-AK$129&gt;0)), 0, IF($A157-AK$129=AK$116, AK$126-SUM(AK$131:AK156), ROUND(PPMT(AK$115, $A157-AK$129, AK$116, -AK$126), -3)))</f>
        <v>0</v>
      </c>
      <c r="AL157" s="15">
        <f>IF(OR(AL$126=0, $A157-AL$129&gt;AL$116, NOT($A157-AL$129&gt;0)), 0, IF($A157-AL$129=AL$116, AL$126-SUM(AL$131:AL156), ROUND(PPMT(AL$115, $A157-AL$129, AL$116, -AL$126), -3)))</f>
        <v>0</v>
      </c>
      <c r="AM157" s="15">
        <f>IF(OR(AM$126=0, $A157-AM$129&gt;AM$116, NOT($A157-AM$129&gt;0)), 0, IF($A157-AM$129=AM$116, AM$126-SUM(AM$131:AM156), ROUND(PPMT(AM$115, $A157-AM$129, AM$116, -AM$126), -3)))</f>
        <v>0</v>
      </c>
    </row>
    <row r="158" spans="1:39" outlineLevel="1">
      <c r="A158" s="40">
        <f t="shared" si="105"/>
        <v>2051</v>
      </c>
      <c r="B158" s="46"/>
      <c r="C158" s="15">
        <f>IF(OR(C$126=0, $A158-C$129&gt;C$116, NOT($A158-C$129&gt;0)), 0, IF($A158-C$129=C$116, C$126-SUM(C$131:C157), ROUND(PPMT(C$115, $A158-C$129, C$116, -C$126), -3)))</f>
        <v>0</v>
      </c>
      <c r="D158" s="15">
        <f>IF(OR(D$126=0, $A158-D$129&gt;D$116, NOT($A158-D$129&gt;0)), 0, IF($A158-D$129=D$116, D$126-SUM(D$131:D157), ROUND(PPMT(D$115, $A158-D$129, D$116, -D$126), -3)))</f>
        <v>0</v>
      </c>
      <c r="E158" s="15">
        <f>IF(OR(E$126=0, $A158-E$129&gt;E$116, NOT($A158-E$129&gt;0)), 0, IF($A158-E$129=E$116, E$126-SUM(E$131:E157), ROUND(PPMT(E$115, $A158-E$129, E$116, -E$126), -3)))</f>
        <v>0</v>
      </c>
      <c r="F158" s="46">
        <f>IF(OR(F$126=0, $A158-F$129&gt;F$116, NOT($A158-F$129&gt;0)), 0, IF($A158-F$129=F$116, F$126-SUM(F$131:F157), ROUND(PPMT(F$115, $A158-F$129, F$116, -F$126), -3)))</f>
        <v>0</v>
      </c>
      <c r="G158" s="15">
        <f>IF(OR(G$126=0, $A158-G$129&gt;G$116, NOT($A158-G$129&gt;0)), 0, IF($A158-G$129=G$116, G$126-SUM(G$131:G157), ROUND(PPMT(G$115, $A158-G$129, G$116, -G$126), -3)))</f>
        <v>0</v>
      </c>
      <c r="H158" s="15">
        <f>IF(OR(H$126=0, $A158-H$129&gt;H$116, NOT($A158-H$129&gt;0)), 0, IF($A158-H$129=H$116, H$126-SUM(H$131:H157), ROUND(PPMT(H$115, $A158-H$129, H$116, -H$126), -3)))</f>
        <v>0</v>
      </c>
      <c r="I158" s="15">
        <f>IF(OR(I$126=0, $A158-I$129&gt;I$116, NOT($A158-I$129&gt;0)), 0, IF($A158-I$129=I$116, I$126-SUM(I$131:I157), ROUND(PPMT(I$115, $A158-I$129, I$116, -I$126), -3)))</f>
        <v>0</v>
      </c>
      <c r="J158" s="15">
        <f>IF(OR(J$126=0, $A158-J$129&gt;J$116, NOT($A158-J$129&gt;0)), 0, IF($A158-J$129=J$116, J$126-SUM(J$131:J157), ROUND(PPMT(J$115, $A158-J$129, J$116, -J$126), -3)))</f>
        <v>0</v>
      </c>
      <c r="K158" s="15">
        <f>IF(OR(K$126=0, $A158-K$129&gt;K$116, NOT($A158-K$129&gt;0)), 0, IF($A158-K$129=K$116, K$126-SUM(K$131:K157), ROUND(PPMT(K$115, $A158-K$129, K$116, -K$126), -3)))</f>
        <v>0</v>
      </c>
      <c r="L158" s="15">
        <f>IF(OR(L$126=0, $A158-L$129&gt;L$116, NOT($A158-L$129&gt;0)), 0, IF($A158-L$129=L$116, L$126-SUM(L$131:L157), ROUND(PPMT(L$115, $A158-L$129, L$116, -L$126), -3)))</f>
        <v>0</v>
      </c>
      <c r="M158" s="15">
        <f>IF(OR(M$126=0, $A158-M$129&gt;M$116, NOT($A158-M$129&gt;0)), 0, IF($A158-M$129=M$116, M$126-SUM(M$131:M157), ROUND(PPMT(M$115, $A158-M$129, M$116, -M$126), -3)))</f>
        <v>1509000</v>
      </c>
      <c r="N158" s="15">
        <f>IF(OR(N$126=0, $A158-N$129&gt;N$116, NOT($A158-N$129&gt;0)), 0, IF($A158-N$129=N$116, N$126-SUM(N$131:N157), ROUND(PPMT(N$115, $A158-N$129, N$116, -N$126), -3)))</f>
        <v>0</v>
      </c>
      <c r="O158" s="15">
        <f>IF(OR(O$126=0, $A158-O$129&gt;O$116, NOT($A158-O$129&gt;0)), 0, IF($A158-O$129=O$116, O$126-SUM(O$131:O157), ROUND(PPMT(O$115, $A158-O$129, O$116, -O$126), -3)))</f>
        <v>3042000</v>
      </c>
      <c r="P158" s="15">
        <f>IF(OR(P$126=0, $A158-P$129&gt;P$116, NOT($A158-P$129&gt;0)), 0, IF($A158-P$129=P$116, P$126-SUM(P$131:P157), ROUND(PPMT(P$115, $A158-P$129, P$116, -P$126), -3)))</f>
        <v>0</v>
      </c>
      <c r="Q158" s="15">
        <f>IF(OR(Q$126=0, $A158-Q$129&gt;Q$116, NOT($A158-Q$129&gt;0)), 0, IF($A158-Q$129=Q$116, Q$126-SUM(Q$131:Q157), ROUND(PPMT(Q$115, $A158-Q$129, Q$116, -Q$126), -3)))</f>
        <v>3132000</v>
      </c>
      <c r="R158" s="15">
        <f>IF(OR(R$126=0, $A158-R$129&gt;R$116, NOT($A158-R$129&gt;0)), 0, IF($A158-R$129=R$116, R$126-SUM(R$131:R157), ROUND(PPMT(R$115, $A158-R$129, R$116, -R$126), -3)))</f>
        <v>3012000</v>
      </c>
      <c r="S158" s="15">
        <f>IF(OR(S$126=0, $A158-S$129&gt;S$116, NOT($A158-S$129&gt;0)), 0, IF($A158-S$129=S$116, S$126-SUM(S$131:S157), ROUND(PPMT(S$115, $A158-S$129, S$116, -S$126), -3)))</f>
        <v>3045000</v>
      </c>
      <c r="T158" s="15">
        <f>IF(OR(T$126=0, $A158-T$129&gt;T$116, NOT($A158-T$129&gt;0)), 0, IF($A158-T$129=T$116, T$126-SUM(T$131:T157), ROUND(PPMT(T$115, $A158-T$129, T$116, -T$126), -3)))</f>
        <v>2985000</v>
      </c>
      <c r="U158" s="15">
        <f>IF(OR(U$126=0, $A158-U$129&gt;U$116, NOT($A158-U$129&gt;0)), 0, IF($A158-U$129=U$116, U$126-SUM(U$131:U157), ROUND(PPMT(U$115, $A158-U$129, U$116, -U$126), -3)))</f>
        <v>0</v>
      </c>
      <c r="V158" s="15">
        <f>IF(OR(V$126=0, $A158-V$129&gt;V$116, NOT($A158-V$129&gt;0)), 0, IF($A158-V$129=V$116, V$126-SUM(V$131:V157), ROUND(PPMT(V$115, $A158-V$129, V$116, -V$126), -3)))</f>
        <v>3388000</v>
      </c>
      <c r="W158" s="15">
        <f>IF(OR(W$126=0, $A158-W$129&gt;W$116, NOT($A158-W$129&gt;0)), 0, IF($A158-W$129=W$116, W$126-SUM(W$131:W157), ROUND(PPMT(W$115, $A158-W$129, W$116, -W$126), -3)))</f>
        <v>3506000</v>
      </c>
      <c r="X158" s="15">
        <f>IF(OR(X$126=0, $A158-X$129&gt;X$116, NOT($A158-X$129&gt;0)), 0, IF($A158-X$129=X$116, X$126-SUM(X$131:X157), ROUND(PPMT(X$115, $A158-X$129, X$116, -X$126), -3)))</f>
        <v>3286000</v>
      </c>
      <c r="Y158" s="15">
        <f>IF(OR(Y$126=0, $A158-Y$129&gt;Y$116, NOT($A158-Y$129&gt;0)), 0, IF($A158-Y$129=Y$116, Y$126-SUM(Y$131:Y157), ROUND(PPMT(Y$115, $A158-Y$129, Y$116, -Y$126), -3)))</f>
        <v>0</v>
      </c>
      <c r="Z158" s="15">
        <f>IF(OR(Z$126=0, $A158-Z$129&gt;Z$116, NOT($A158-Z$129&gt;0)), 0, IF($A158-Z$129=Z$116, Z$126-SUM(Z$131:Z157), ROUND(PPMT(Z$115, $A158-Z$129, Z$116, -Z$126), -3)))</f>
        <v>0</v>
      </c>
      <c r="AA158" s="15">
        <f>IF(OR(AA$126=0, $A158-AA$129&gt;AA$116, NOT($A158-AA$129&gt;0)), 0, IF($A158-AA$129=AA$116, AA$126-SUM(AA$131:AA157), ROUND(PPMT(AA$115, $A158-AA$129, AA$116, -AA$126), -3)))</f>
        <v>0</v>
      </c>
      <c r="AB158" s="15">
        <f>IF(OR(AB$126=0, $A158-AB$129&gt;AB$116, NOT($A158-AB$129&gt;0)), 0, IF($A158-AB$129=AB$116, AB$126-SUM(AB$131:AB157), ROUND(PPMT(AB$115, $A158-AB$129, AB$116, -AB$126), -3)))</f>
        <v>4328000</v>
      </c>
      <c r="AC158" s="15">
        <f>IF(OR(AC$126=0, $A158-AC$129&gt;AC$116, NOT($A158-AC$129&gt;0)), 0, IF($A158-AC$129=AC$116, AC$126-SUM(AC$131:AC157), ROUND(PPMT(AC$115, $A158-AC$129, AC$116, -AC$126), -3)))</f>
        <v>3770000</v>
      </c>
      <c r="AD158" s="15">
        <f>IF(OR(AD$126=0, $A158-AD$129&gt;AD$116, NOT($A158-AD$129&gt;0)), 0, IF($A158-AD$129=AD$116, AD$126-SUM(AD$131:AD157), ROUND(PPMT(AD$115, $A158-AD$129, AD$116, -AD$126), -3)))</f>
        <v>0</v>
      </c>
      <c r="AE158" s="15">
        <f>IF(OR(AE$126=0, $A158-AE$129&gt;AE$116, NOT($A158-AE$129&gt;0)), 0, IF($A158-AE$129=AE$116, AE$126-SUM(AE$131:AE157), ROUND(PPMT(AE$115, $A158-AE$129, AE$116, -AE$126), -3)))</f>
        <v>0</v>
      </c>
      <c r="AF158" s="15">
        <f>IF(OR(AF$126=0, $A158-AF$129&gt;AF$116, NOT($A158-AF$129&gt;0)), 0, IF($A158-AF$129=AF$116, AF$126-SUM(AF$131:AF157), ROUND(PPMT(AF$115, $A158-AF$129, AF$116, -AF$126), -3)))</f>
        <v>0</v>
      </c>
      <c r="AG158" s="15">
        <f>IF(OR(AG$126=0, $A158-AG$129&gt;AG$116, NOT($A158-AG$129&gt;0)), 0, IF($A158-AG$129=AG$116, AG$126-SUM(AG$131:AG157), ROUND(PPMT(AG$115, $A158-AG$129, AG$116, -AG$126), -3)))</f>
        <v>0</v>
      </c>
      <c r="AH158" s="15">
        <f>IF(OR(AH$126=0, $A158-AH$129&gt;AH$116, NOT($A158-AH$129&gt;0)), 0, IF($A158-AH$129=AH$116, AH$126-SUM(AH$131:AH157), ROUND(PPMT(AH$115, $A158-AH$129, AH$116, -AH$126), -3)))</f>
        <v>0</v>
      </c>
      <c r="AI158" s="15">
        <f>IF(OR(AI$126=0, $A158-AI$129&gt;AI$116, NOT($A158-AI$129&gt;0)), 0, IF($A158-AI$129=AI$116, AI$126-SUM(AI$131:AI157), ROUND(PPMT(AI$115, $A158-AI$129, AI$116, -AI$126), -3)))</f>
        <v>0</v>
      </c>
      <c r="AJ158" s="15">
        <f>IF(OR(AJ$126=0, $A158-AJ$129&gt;AJ$116, NOT($A158-AJ$129&gt;0)), 0, IF($A158-AJ$129=AJ$116, AJ$126-SUM(AJ$131:AJ157), ROUND(PPMT(AJ$115, $A158-AJ$129, AJ$116, -AJ$126), -3)))</f>
        <v>0</v>
      </c>
      <c r="AK158" s="15">
        <f>IF(OR(AK$126=0, $A158-AK$129&gt;AK$116, NOT($A158-AK$129&gt;0)), 0, IF($A158-AK$129=AK$116, AK$126-SUM(AK$131:AK157), ROUND(PPMT(AK$115, $A158-AK$129, AK$116, -AK$126), -3)))</f>
        <v>0</v>
      </c>
      <c r="AL158" s="15">
        <f>IF(OR(AL$126=0, $A158-AL$129&gt;AL$116, NOT($A158-AL$129&gt;0)), 0, IF($A158-AL$129=AL$116, AL$126-SUM(AL$131:AL157), ROUND(PPMT(AL$115, $A158-AL$129, AL$116, -AL$126), -3)))</f>
        <v>0</v>
      </c>
      <c r="AM158" s="15">
        <f>IF(OR(AM$126=0, $A158-AM$129&gt;AM$116, NOT($A158-AM$129&gt;0)), 0, IF($A158-AM$129=AM$116, AM$126-SUM(AM$131:AM157), ROUND(PPMT(AM$115, $A158-AM$129, AM$116, -AM$126), -3)))</f>
        <v>0</v>
      </c>
    </row>
    <row r="159" spans="1:39" outlineLevel="1">
      <c r="A159" s="40">
        <f t="shared" si="105"/>
        <v>2052</v>
      </c>
      <c r="B159" s="46"/>
      <c r="C159" s="15">
        <f>IF(OR(C$126=0, $A159-C$129&gt;C$116, NOT($A159-C$129&gt;0)), 0, IF($A159-C$129=C$116, C$126-SUM(C$131:C158), ROUND(PPMT(C$115, $A159-C$129, C$116, -C$126), -3)))</f>
        <v>0</v>
      </c>
      <c r="D159" s="15">
        <f>IF(OR(D$126=0, $A159-D$129&gt;D$116, NOT($A159-D$129&gt;0)), 0, IF($A159-D$129=D$116, D$126-SUM(D$131:D158), ROUND(PPMT(D$115, $A159-D$129, D$116, -D$126), -3)))</f>
        <v>0</v>
      </c>
      <c r="E159" s="15">
        <f>IF(OR(E$126=0, $A159-E$129&gt;E$116, NOT($A159-E$129&gt;0)), 0, IF($A159-E$129=E$116, E$126-SUM(E$131:E158), ROUND(PPMT(E$115, $A159-E$129, E$116, -E$126), -3)))</f>
        <v>0</v>
      </c>
      <c r="F159" s="46">
        <f>IF(OR(F$126=0, $A159-F$129&gt;F$116, NOT($A159-F$129&gt;0)), 0, IF($A159-F$129=F$116, F$126-SUM(F$131:F158), ROUND(PPMT(F$115, $A159-F$129, F$116, -F$126), -3)))</f>
        <v>0</v>
      </c>
      <c r="G159" s="15">
        <f>IF(OR(G$126=0, $A159-G$129&gt;G$116, NOT($A159-G$129&gt;0)), 0, IF($A159-G$129=G$116, G$126-SUM(G$131:G158), ROUND(PPMT(G$115, $A159-G$129, G$116, -G$126), -3)))</f>
        <v>0</v>
      </c>
      <c r="H159" s="15">
        <f>IF(OR(H$126=0, $A159-H$129&gt;H$116, NOT($A159-H$129&gt;0)), 0, IF($A159-H$129=H$116, H$126-SUM(H$131:H158), ROUND(PPMT(H$115, $A159-H$129, H$116, -H$126), -3)))</f>
        <v>0</v>
      </c>
      <c r="I159" s="15">
        <f>IF(OR(I$126=0, $A159-I$129&gt;I$116, NOT($A159-I$129&gt;0)), 0, IF($A159-I$129=I$116, I$126-SUM(I$131:I158), ROUND(PPMT(I$115, $A159-I$129, I$116, -I$126), -3)))</f>
        <v>0</v>
      </c>
      <c r="J159" s="15">
        <f>IF(OR(J$126=0, $A159-J$129&gt;J$116, NOT($A159-J$129&gt;0)), 0, IF($A159-J$129=J$116, J$126-SUM(J$131:J158), ROUND(PPMT(J$115, $A159-J$129, J$116, -J$126), -3)))</f>
        <v>0</v>
      </c>
      <c r="K159" s="15">
        <f>IF(OR(K$126=0, $A159-K$129&gt;K$116, NOT($A159-K$129&gt;0)), 0, IF($A159-K$129=K$116, K$126-SUM(K$131:K158), ROUND(PPMT(K$115, $A159-K$129, K$116, -K$126), -3)))</f>
        <v>0</v>
      </c>
      <c r="L159" s="15">
        <f>IF(OR(L$126=0, $A159-L$129&gt;L$116, NOT($A159-L$129&gt;0)), 0, IF($A159-L$129=L$116, L$126-SUM(L$131:L158), ROUND(PPMT(L$115, $A159-L$129, L$116, -L$126), -3)))</f>
        <v>0</v>
      </c>
      <c r="M159" s="15">
        <f>IF(OR(M$126=0, $A159-M$129&gt;M$116, NOT($A159-M$129&gt;0)), 0, IF($A159-M$129=M$116, M$126-SUM(M$131:M158), ROUND(PPMT(M$115, $A159-M$129, M$116, -M$126), -3)))</f>
        <v>1592000</v>
      </c>
      <c r="N159" s="15">
        <f>IF(OR(N$126=0, $A159-N$129&gt;N$116, NOT($A159-N$129&gt;0)), 0, IF($A159-N$129=N$116, N$126-SUM(N$131:N158), ROUND(PPMT(N$115, $A159-N$129, N$116, -N$126), -3)))</f>
        <v>0</v>
      </c>
      <c r="O159" s="15">
        <f>IF(OR(O$126=0, $A159-O$129&gt;O$116, NOT($A159-O$129&gt;0)), 0, IF($A159-O$129=O$116, O$126-SUM(O$131:O158), ROUND(PPMT(O$115, $A159-O$129, O$116, -O$126), -3)))</f>
        <v>3209000</v>
      </c>
      <c r="P159" s="15">
        <f>IF(OR(P$126=0, $A159-P$129&gt;P$116, NOT($A159-P$129&gt;0)), 0, IF($A159-P$129=P$116, P$126-SUM(P$131:P158), ROUND(PPMT(P$115, $A159-P$129, P$116, -P$126), -3)))</f>
        <v>0</v>
      </c>
      <c r="Q159" s="15">
        <f>IF(OR(Q$126=0, $A159-Q$129&gt;Q$116, NOT($A159-Q$129&gt;0)), 0, IF($A159-Q$129=Q$116, Q$126-SUM(Q$131:Q158), ROUND(PPMT(Q$115, $A159-Q$129, Q$116, -Q$126), -3)))</f>
        <v>3304000</v>
      </c>
      <c r="R159" s="15">
        <f>IF(OR(R$126=0, $A159-R$129&gt;R$116, NOT($A159-R$129&gt;0)), 0, IF($A159-R$129=R$116, R$126-SUM(R$131:R158), ROUND(PPMT(R$115, $A159-R$129, R$116, -R$126), -3)))</f>
        <v>3178000</v>
      </c>
      <c r="S159" s="15">
        <f>IF(OR(S$126=0, $A159-S$129&gt;S$116, NOT($A159-S$129&gt;0)), 0, IF($A159-S$129=S$116, S$126-SUM(S$131:S158), ROUND(PPMT(S$115, $A159-S$129, S$116, -S$126), -3)))</f>
        <v>3212000</v>
      </c>
      <c r="T159" s="15">
        <f>IF(OR(T$126=0, $A159-T$129&gt;T$116, NOT($A159-T$129&gt;0)), 0, IF($A159-T$129=T$116, T$126-SUM(T$131:T158), ROUND(PPMT(T$115, $A159-T$129, T$116, -T$126), -3)))</f>
        <v>3150000</v>
      </c>
      <c r="U159" s="15">
        <f>IF(OR(U$126=0, $A159-U$129&gt;U$116, NOT($A159-U$129&gt;0)), 0, IF($A159-U$129=U$116, U$126-SUM(U$131:U158), ROUND(PPMT(U$115, $A159-U$129, U$116, -U$126), -3)))</f>
        <v>0</v>
      </c>
      <c r="V159" s="15">
        <f>IF(OR(V$126=0, $A159-V$129&gt;V$116, NOT($A159-V$129&gt;0)), 0, IF($A159-V$129=V$116, V$126-SUM(V$131:V158), ROUND(PPMT(V$115, $A159-V$129, V$116, -V$126), -3)))</f>
        <v>3557000</v>
      </c>
      <c r="W159" s="15">
        <f>IF(OR(W$126=0, $A159-W$129&gt;W$116, NOT($A159-W$129&gt;0)), 0, IF($A159-W$129=W$116, W$126-SUM(W$131:W158), ROUND(PPMT(W$115, $A159-W$129, W$116, -W$126), -3)))</f>
        <v>3681000</v>
      </c>
      <c r="X159" s="15">
        <f>IF(OR(X$126=0, $A159-X$129&gt;X$116, NOT($A159-X$129&gt;0)), 0, IF($A159-X$129=X$116, X$126-SUM(X$131:X158), ROUND(PPMT(X$115, $A159-X$129, X$116, -X$126), -3)))</f>
        <v>3450000</v>
      </c>
      <c r="Y159" s="15">
        <f>IF(OR(Y$126=0, $A159-Y$129&gt;Y$116, NOT($A159-Y$129&gt;0)), 0, IF($A159-Y$129=Y$116, Y$126-SUM(Y$131:Y158), ROUND(PPMT(Y$115, $A159-Y$129, Y$116, -Y$126), -3)))</f>
        <v>0</v>
      </c>
      <c r="Z159" s="15">
        <f>IF(OR(Z$126=0, $A159-Z$129&gt;Z$116, NOT($A159-Z$129&gt;0)), 0, IF($A159-Z$129=Z$116, Z$126-SUM(Z$131:Z158), ROUND(PPMT(Z$115, $A159-Z$129, Z$116, -Z$126), -3)))</f>
        <v>0</v>
      </c>
      <c r="AA159" s="15">
        <f>IF(OR(AA$126=0, $A159-AA$129&gt;AA$116, NOT($A159-AA$129&gt;0)), 0, IF($A159-AA$129=AA$116, AA$126-SUM(AA$131:AA158), ROUND(PPMT(AA$115, $A159-AA$129, AA$116, -AA$126), -3)))</f>
        <v>0</v>
      </c>
      <c r="AB159" s="15">
        <f>IF(OR(AB$126=0, $A159-AB$129&gt;AB$116, NOT($A159-AB$129&gt;0)), 0, IF($A159-AB$129=AB$116, AB$126-SUM(AB$131:AB158), ROUND(PPMT(AB$115, $A159-AB$129, AB$116, -AB$126), -3)))</f>
        <v>4522000</v>
      </c>
      <c r="AC159" s="15">
        <f>IF(OR(AC$126=0, $A159-AC$129&gt;AC$116, NOT($A159-AC$129&gt;0)), 0, IF($A159-AC$129=AC$116, AC$126-SUM(AC$131:AC158), ROUND(PPMT(AC$115, $A159-AC$129, AC$116, -AC$126), -3)))</f>
        <v>3940000</v>
      </c>
      <c r="AD159" s="15">
        <f>IF(OR(AD$126=0, $A159-AD$129&gt;AD$116, NOT($A159-AD$129&gt;0)), 0, IF($A159-AD$129=AD$116, AD$126-SUM(AD$131:AD158), ROUND(PPMT(AD$115, $A159-AD$129, AD$116, -AD$126), -3)))</f>
        <v>0</v>
      </c>
      <c r="AE159" s="15">
        <f>IF(OR(AE$126=0, $A159-AE$129&gt;AE$116, NOT($A159-AE$129&gt;0)), 0, IF($A159-AE$129=AE$116, AE$126-SUM(AE$131:AE158), ROUND(PPMT(AE$115, $A159-AE$129, AE$116, -AE$126), -3)))</f>
        <v>0</v>
      </c>
      <c r="AF159" s="15">
        <f>IF(OR(AF$126=0, $A159-AF$129&gt;AF$116, NOT($A159-AF$129&gt;0)), 0, IF($A159-AF$129=AF$116, AF$126-SUM(AF$131:AF158), ROUND(PPMT(AF$115, $A159-AF$129, AF$116, -AF$126), -3)))</f>
        <v>0</v>
      </c>
      <c r="AG159" s="15">
        <f>IF(OR(AG$126=0, $A159-AG$129&gt;AG$116, NOT($A159-AG$129&gt;0)), 0, IF($A159-AG$129=AG$116, AG$126-SUM(AG$131:AG158), ROUND(PPMT(AG$115, $A159-AG$129, AG$116, -AG$126), -3)))</f>
        <v>0</v>
      </c>
      <c r="AH159" s="15">
        <f>IF(OR(AH$126=0, $A159-AH$129&gt;AH$116, NOT($A159-AH$129&gt;0)), 0, IF($A159-AH$129=AH$116, AH$126-SUM(AH$131:AH158), ROUND(PPMT(AH$115, $A159-AH$129, AH$116, -AH$126), -3)))</f>
        <v>0</v>
      </c>
      <c r="AI159" s="15">
        <f>IF(OR(AI$126=0, $A159-AI$129&gt;AI$116, NOT($A159-AI$129&gt;0)), 0, IF($A159-AI$129=AI$116, AI$126-SUM(AI$131:AI158), ROUND(PPMT(AI$115, $A159-AI$129, AI$116, -AI$126), -3)))</f>
        <v>0</v>
      </c>
      <c r="AJ159" s="15">
        <f>IF(OR(AJ$126=0, $A159-AJ$129&gt;AJ$116, NOT($A159-AJ$129&gt;0)), 0, IF($A159-AJ$129=AJ$116, AJ$126-SUM(AJ$131:AJ158), ROUND(PPMT(AJ$115, $A159-AJ$129, AJ$116, -AJ$126), -3)))</f>
        <v>0</v>
      </c>
      <c r="AK159" s="15">
        <f>IF(OR(AK$126=0, $A159-AK$129&gt;AK$116, NOT($A159-AK$129&gt;0)), 0, IF($A159-AK$129=AK$116, AK$126-SUM(AK$131:AK158), ROUND(PPMT(AK$115, $A159-AK$129, AK$116, -AK$126), -3)))</f>
        <v>0</v>
      </c>
      <c r="AL159" s="15">
        <f>IF(OR(AL$126=0, $A159-AL$129&gt;AL$116, NOT($A159-AL$129&gt;0)), 0, IF($A159-AL$129=AL$116, AL$126-SUM(AL$131:AL158), ROUND(PPMT(AL$115, $A159-AL$129, AL$116, -AL$126), -3)))</f>
        <v>0</v>
      </c>
      <c r="AM159" s="15">
        <f>IF(OR(AM$126=0, $A159-AM$129&gt;AM$116, NOT($A159-AM$129&gt;0)), 0, IF($A159-AM$129=AM$116, AM$126-SUM(AM$131:AM158), ROUND(PPMT(AM$115, $A159-AM$129, AM$116, -AM$126), -3)))</f>
        <v>0</v>
      </c>
    </row>
    <row r="160" spans="1:39" outlineLevel="1">
      <c r="A160" s="40">
        <f t="shared" si="105"/>
        <v>2053</v>
      </c>
      <c r="B160" s="46"/>
      <c r="C160" s="15">
        <f>IF(OR(C$126=0, $A160-C$129&gt;C$116, NOT($A160-C$129&gt;0)), 0, IF($A160-C$129=C$116, C$126-SUM(C$131:C159), ROUND(PPMT(C$115, $A160-C$129, C$116, -C$126), -3)))</f>
        <v>0</v>
      </c>
      <c r="D160" s="15">
        <f>IF(OR(D$126=0, $A160-D$129&gt;D$116, NOT($A160-D$129&gt;0)), 0, IF($A160-D$129=D$116, D$126-SUM(D$131:D159), ROUND(PPMT(D$115, $A160-D$129, D$116, -D$126), -3)))</f>
        <v>0</v>
      </c>
      <c r="E160" s="15">
        <f>IF(OR(E$126=0, $A160-E$129&gt;E$116, NOT($A160-E$129&gt;0)), 0, IF($A160-E$129=E$116, E$126-SUM(E$131:E159), ROUND(PPMT(E$115, $A160-E$129, E$116, -E$126), -3)))</f>
        <v>0</v>
      </c>
      <c r="F160" s="46">
        <f>IF(OR(F$126=0, $A160-F$129&gt;F$116, NOT($A160-F$129&gt;0)), 0, IF($A160-F$129=F$116, F$126-SUM(F$131:F159), ROUND(PPMT(F$115, $A160-F$129, F$116, -F$126), -3)))</f>
        <v>0</v>
      </c>
      <c r="G160" s="15">
        <f>IF(OR(G$126=0, $A160-G$129&gt;G$116, NOT($A160-G$129&gt;0)), 0, IF($A160-G$129=G$116, G$126-SUM(G$131:G159), ROUND(PPMT(G$115, $A160-G$129, G$116, -G$126), -3)))</f>
        <v>0</v>
      </c>
      <c r="H160" s="15">
        <f>IF(OR(H$126=0, $A160-H$129&gt;H$116, NOT($A160-H$129&gt;0)), 0, IF($A160-H$129=H$116, H$126-SUM(H$131:H159), ROUND(PPMT(H$115, $A160-H$129, H$116, -H$126), -3)))</f>
        <v>0</v>
      </c>
      <c r="I160" s="15">
        <f>IF(OR(I$126=0, $A160-I$129&gt;I$116, NOT($A160-I$129&gt;0)), 0, IF($A160-I$129=I$116, I$126-SUM(I$131:I159), ROUND(PPMT(I$115, $A160-I$129, I$116, -I$126), -3)))</f>
        <v>0</v>
      </c>
      <c r="J160" s="15">
        <f>IF(OR(J$126=0, $A160-J$129&gt;J$116, NOT($A160-J$129&gt;0)), 0, IF($A160-J$129=J$116, J$126-SUM(J$131:J159), ROUND(PPMT(J$115, $A160-J$129, J$116, -J$126), -3)))</f>
        <v>0</v>
      </c>
      <c r="K160" s="15">
        <f>IF(OR(K$126=0, $A160-K$129&gt;K$116, NOT($A160-K$129&gt;0)), 0, IF($A160-K$129=K$116, K$126-SUM(K$131:K159), ROUND(PPMT(K$115, $A160-K$129, K$116, -K$126), -3)))</f>
        <v>0</v>
      </c>
      <c r="L160" s="15">
        <f>IF(OR(L$126=0, $A160-L$129&gt;L$116, NOT($A160-L$129&gt;0)), 0, IF($A160-L$129=L$116, L$126-SUM(L$131:L159), ROUND(PPMT(L$115, $A160-L$129, L$116, -L$126), -3)))</f>
        <v>0</v>
      </c>
      <c r="M160" s="15">
        <f>IF(OR(M$126=0, $A160-M$129&gt;M$116, NOT($A160-M$129&gt;0)), 0, IF($A160-M$129=M$116, M$126-SUM(M$131:M159), ROUND(PPMT(M$115, $A160-M$129, M$116, -M$126), -3)))</f>
        <v>1679000</v>
      </c>
      <c r="N160" s="15">
        <f>IF(OR(N$126=0, $A160-N$129&gt;N$116, NOT($A160-N$129&gt;0)), 0, IF($A160-N$129=N$116, N$126-SUM(N$131:N159), ROUND(PPMT(N$115, $A160-N$129, N$116, -N$126), -3)))</f>
        <v>0</v>
      </c>
      <c r="O160" s="15">
        <f>IF(OR(O$126=0, $A160-O$129&gt;O$116, NOT($A160-O$129&gt;0)), 0, IF($A160-O$129=O$116, O$126-SUM(O$131:O159), ROUND(PPMT(O$115, $A160-O$129, O$116, -O$126), -3)))</f>
        <v>3385000</v>
      </c>
      <c r="P160" s="15">
        <f>IF(OR(P$126=0, $A160-P$129&gt;P$116, NOT($A160-P$129&gt;0)), 0, IF($A160-P$129=P$116, P$126-SUM(P$131:P159), ROUND(PPMT(P$115, $A160-P$129, P$116, -P$126), -3)))</f>
        <v>0</v>
      </c>
      <c r="Q160" s="15">
        <f>IF(OR(Q$126=0, $A160-Q$129&gt;Q$116, NOT($A160-Q$129&gt;0)), 0, IF($A160-Q$129=Q$116, Q$126-SUM(Q$131:Q159), ROUND(PPMT(Q$115, $A160-Q$129, Q$116, -Q$126), -3)))</f>
        <v>3486000</v>
      </c>
      <c r="R160" s="15">
        <f>IF(OR(R$126=0, $A160-R$129&gt;R$116, NOT($A160-R$129&gt;0)), 0, IF($A160-R$129=R$116, R$126-SUM(R$131:R159), ROUND(PPMT(R$115, $A160-R$129, R$116, -R$126), -3)))</f>
        <v>3353000</v>
      </c>
      <c r="S160" s="15">
        <f>IF(OR(S$126=0, $A160-S$129&gt;S$116, NOT($A160-S$129&gt;0)), 0, IF($A160-S$129=S$116, S$126-SUM(S$131:S159), ROUND(PPMT(S$115, $A160-S$129, S$116, -S$126), -3)))</f>
        <v>3389000</v>
      </c>
      <c r="T160" s="15">
        <f>IF(OR(T$126=0, $A160-T$129&gt;T$116, NOT($A160-T$129&gt;0)), 0, IF($A160-T$129=T$116, T$126-SUM(T$131:T159), ROUND(PPMT(T$115, $A160-T$129, T$116, -T$126), -3)))</f>
        <v>3323000</v>
      </c>
      <c r="U160" s="15">
        <f>IF(OR(U$126=0, $A160-U$129&gt;U$116, NOT($A160-U$129&gt;0)), 0, IF($A160-U$129=U$116, U$126-SUM(U$131:U159), ROUND(PPMT(U$115, $A160-U$129, U$116, -U$126), -3)))</f>
        <v>0</v>
      </c>
      <c r="V160" s="15">
        <f>IF(OR(V$126=0, $A160-V$129&gt;V$116, NOT($A160-V$129&gt;0)), 0, IF($A160-V$129=V$116, V$126-SUM(V$131:V159), ROUND(PPMT(V$115, $A160-V$129, V$116, -V$126), -3)))</f>
        <v>3735000</v>
      </c>
      <c r="W160" s="15">
        <f>IF(OR(W$126=0, $A160-W$129&gt;W$116, NOT($A160-W$129&gt;0)), 0, IF($A160-W$129=W$116, W$126-SUM(W$131:W159), ROUND(PPMT(W$115, $A160-W$129, W$116, -W$126), -3)))</f>
        <v>3865000</v>
      </c>
      <c r="X160" s="15">
        <f>IF(OR(X$126=0, $A160-X$129&gt;X$116, NOT($A160-X$129&gt;0)), 0, IF($A160-X$129=X$116, X$126-SUM(X$131:X159), ROUND(PPMT(X$115, $A160-X$129, X$116, -X$126), -3)))</f>
        <v>3623000</v>
      </c>
      <c r="Y160" s="15">
        <f>IF(OR(Y$126=0, $A160-Y$129&gt;Y$116, NOT($A160-Y$129&gt;0)), 0, IF($A160-Y$129=Y$116, Y$126-SUM(Y$131:Y159), ROUND(PPMT(Y$115, $A160-Y$129, Y$116, -Y$126), -3)))</f>
        <v>0</v>
      </c>
      <c r="Z160" s="15">
        <f>IF(OR(Z$126=0, $A160-Z$129&gt;Z$116, NOT($A160-Z$129&gt;0)), 0, IF($A160-Z$129=Z$116, Z$126-SUM(Z$131:Z159), ROUND(PPMT(Z$115, $A160-Z$129, Z$116, -Z$126), -3)))</f>
        <v>0</v>
      </c>
      <c r="AA160" s="15">
        <f>IF(OR(AA$126=0, $A160-AA$129&gt;AA$116, NOT($A160-AA$129&gt;0)), 0, IF($A160-AA$129=AA$116, AA$126-SUM(AA$131:AA159), ROUND(PPMT(AA$115, $A160-AA$129, AA$116, -AA$126), -3)))</f>
        <v>0</v>
      </c>
      <c r="AB160" s="15">
        <f>IF(OR(AB$126=0, $A160-AB$129&gt;AB$116, NOT($A160-AB$129&gt;0)), 0, IF($A160-AB$129=AB$116, AB$126-SUM(AB$131:AB159), ROUND(PPMT(AB$115, $A160-AB$129, AB$116, -AB$126), -3)))</f>
        <v>4726000</v>
      </c>
      <c r="AC160" s="15">
        <f>IF(OR(AC$126=0, $A160-AC$129&gt;AC$116, NOT($A160-AC$129&gt;0)), 0, IF($A160-AC$129=AC$116, AC$126-SUM(AC$131:AC159), ROUND(PPMT(AC$115, $A160-AC$129, AC$116, -AC$126), -3)))</f>
        <v>4117000</v>
      </c>
      <c r="AD160" s="15">
        <f>IF(OR(AD$126=0, $A160-AD$129&gt;AD$116, NOT($A160-AD$129&gt;0)), 0, IF($A160-AD$129=AD$116, AD$126-SUM(AD$131:AD159), ROUND(PPMT(AD$115, $A160-AD$129, AD$116, -AD$126), -3)))</f>
        <v>0</v>
      </c>
      <c r="AE160" s="15">
        <f>IF(OR(AE$126=0, $A160-AE$129&gt;AE$116, NOT($A160-AE$129&gt;0)), 0, IF($A160-AE$129=AE$116, AE$126-SUM(AE$131:AE159), ROUND(PPMT(AE$115, $A160-AE$129, AE$116, -AE$126), -3)))</f>
        <v>0</v>
      </c>
      <c r="AF160" s="15">
        <f>IF(OR(AF$126=0, $A160-AF$129&gt;AF$116, NOT($A160-AF$129&gt;0)), 0, IF($A160-AF$129=AF$116, AF$126-SUM(AF$131:AF159), ROUND(PPMT(AF$115, $A160-AF$129, AF$116, -AF$126), -3)))</f>
        <v>0</v>
      </c>
      <c r="AG160" s="15">
        <f>IF(OR(AG$126=0, $A160-AG$129&gt;AG$116, NOT($A160-AG$129&gt;0)), 0, IF($A160-AG$129=AG$116, AG$126-SUM(AG$131:AG159), ROUND(PPMT(AG$115, $A160-AG$129, AG$116, -AG$126), -3)))</f>
        <v>0</v>
      </c>
      <c r="AH160" s="15">
        <f>IF(OR(AH$126=0, $A160-AH$129&gt;AH$116, NOT($A160-AH$129&gt;0)), 0, IF($A160-AH$129=AH$116, AH$126-SUM(AH$131:AH159), ROUND(PPMT(AH$115, $A160-AH$129, AH$116, -AH$126), -3)))</f>
        <v>0</v>
      </c>
      <c r="AI160" s="15">
        <f>IF(OR(AI$126=0, $A160-AI$129&gt;AI$116, NOT($A160-AI$129&gt;0)), 0, IF($A160-AI$129=AI$116, AI$126-SUM(AI$131:AI159), ROUND(PPMT(AI$115, $A160-AI$129, AI$116, -AI$126), -3)))</f>
        <v>0</v>
      </c>
      <c r="AJ160" s="15">
        <f>IF(OR(AJ$126=0, $A160-AJ$129&gt;AJ$116, NOT($A160-AJ$129&gt;0)), 0, IF($A160-AJ$129=AJ$116, AJ$126-SUM(AJ$131:AJ159), ROUND(PPMT(AJ$115, $A160-AJ$129, AJ$116, -AJ$126), -3)))</f>
        <v>0</v>
      </c>
      <c r="AK160" s="15">
        <f>IF(OR(AK$126=0, $A160-AK$129&gt;AK$116, NOT($A160-AK$129&gt;0)), 0, IF($A160-AK$129=AK$116, AK$126-SUM(AK$131:AK159), ROUND(PPMT(AK$115, $A160-AK$129, AK$116, -AK$126), -3)))</f>
        <v>0</v>
      </c>
      <c r="AL160" s="15">
        <f>IF(OR(AL$126=0, $A160-AL$129&gt;AL$116, NOT($A160-AL$129&gt;0)), 0, IF($A160-AL$129=AL$116, AL$126-SUM(AL$131:AL159), ROUND(PPMT(AL$115, $A160-AL$129, AL$116, -AL$126), -3)))</f>
        <v>0</v>
      </c>
      <c r="AM160" s="15">
        <f>IF(OR(AM$126=0, $A160-AM$129&gt;AM$116, NOT($A160-AM$129&gt;0)), 0, IF($A160-AM$129=AM$116, AM$126-SUM(AM$131:AM159), ROUND(PPMT(AM$115, $A160-AM$129, AM$116, -AM$126), -3)))</f>
        <v>0</v>
      </c>
    </row>
    <row r="161" spans="1:41" outlineLevel="1">
      <c r="A161" s="40">
        <f t="shared" si="105"/>
        <v>2054</v>
      </c>
      <c r="B161" s="46"/>
      <c r="C161" s="15">
        <f>IF(OR(C$126=0, $A161-C$129&gt;C$116, NOT($A161-C$129&gt;0)), 0, IF($A161-C$129=C$116, C$126-SUM(C$131:C160), ROUND(PPMT(C$115, $A161-C$129, C$116, -C$126), -3)))</f>
        <v>0</v>
      </c>
      <c r="D161" s="15">
        <f>IF(OR(D$126=0, $A161-D$129&gt;D$116, NOT($A161-D$129&gt;0)), 0, IF($A161-D$129=D$116, D$126-SUM(D$131:D160), ROUND(PPMT(D$115, $A161-D$129, D$116, -D$126), -3)))</f>
        <v>0</v>
      </c>
      <c r="E161" s="15">
        <f>IF(OR(E$126=0, $A161-E$129&gt;E$116, NOT($A161-E$129&gt;0)), 0, IF($A161-E$129=E$116, E$126-SUM(E$131:E160), ROUND(PPMT(E$115, $A161-E$129, E$116, -E$126), -3)))</f>
        <v>0</v>
      </c>
      <c r="F161" s="46">
        <f>IF(OR(F$126=0, $A161-F$129&gt;F$116, NOT($A161-F$129&gt;0)), 0, IF($A161-F$129=F$116, F$126-SUM(F$131:F160), ROUND(PPMT(F$115, $A161-F$129, F$116, -F$126), -3)))</f>
        <v>0</v>
      </c>
      <c r="G161" s="15">
        <f>IF(OR(G$126=0, $A161-G$129&gt;G$116, NOT($A161-G$129&gt;0)), 0, IF($A161-G$129=G$116, G$126-SUM(G$131:G160), ROUND(PPMT(G$115, $A161-G$129, G$116, -G$126), -3)))</f>
        <v>0</v>
      </c>
      <c r="H161" s="15">
        <f>IF(OR(H$126=0, $A161-H$129&gt;H$116, NOT($A161-H$129&gt;0)), 0, IF($A161-H$129=H$116, H$126-SUM(H$131:H160), ROUND(PPMT(H$115, $A161-H$129, H$116, -H$126), -3)))</f>
        <v>0</v>
      </c>
      <c r="I161" s="15">
        <f>IF(OR(I$126=0, $A161-I$129&gt;I$116, NOT($A161-I$129&gt;0)), 0, IF($A161-I$129=I$116, I$126-SUM(I$131:I160), ROUND(PPMT(I$115, $A161-I$129, I$116, -I$126), -3)))</f>
        <v>0</v>
      </c>
      <c r="J161" s="15">
        <f>IF(OR(J$126=0, $A161-J$129&gt;J$116, NOT($A161-J$129&gt;0)), 0, IF($A161-J$129=J$116, J$126-SUM(J$131:J160), ROUND(PPMT(J$115, $A161-J$129, J$116, -J$126), -3)))</f>
        <v>0</v>
      </c>
      <c r="K161" s="15">
        <f>IF(OR(K$126=0, $A161-K$129&gt;K$116, NOT($A161-K$129&gt;0)), 0, IF($A161-K$129=K$116, K$126-SUM(K$131:K160), ROUND(PPMT(K$115, $A161-K$129, K$116, -K$126), -3)))</f>
        <v>0</v>
      </c>
      <c r="L161" s="15">
        <f>IF(OR(L$126=0, $A161-L$129&gt;L$116, NOT($A161-L$129&gt;0)), 0, IF($A161-L$129=L$116, L$126-SUM(L$131:L160), ROUND(PPMT(L$115, $A161-L$129, L$116, -L$126), -3)))</f>
        <v>0</v>
      </c>
      <c r="M161" s="15">
        <f>IF(OR(M$126=0, $A161-M$129&gt;M$116, NOT($A161-M$129&gt;0)), 0, IF($A161-M$129=M$116, M$126-SUM(M$131:M160), ROUND(PPMT(M$115, $A161-M$129, M$116, -M$126), -3)))</f>
        <v>1771000</v>
      </c>
      <c r="N161" s="15">
        <f>IF(OR(N$126=0, $A161-N$129&gt;N$116, NOT($A161-N$129&gt;0)), 0, IF($A161-N$129=N$116, N$126-SUM(N$131:N160), ROUND(PPMT(N$115, $A161-N$129, N$116, -N$126), -3)))</f>
        <v>0</v>
      </c>
      <c r="O161" s="15">
        <f>IF(OR(O$126=0, $A161-O$129&gt;O$116, NOT($A161-O$129&gt;0)), 0, IF($A161-O$129=O$116, O$126-SUM(O$131:O160), ROUND(PPMT(O$115, $A161-O$129, O$116, -O$126), -3)))</f>
        <v>3572000</v>
      </c>
      <c r="P161" s="15">
        <f>IF(OR(P$126=0, $A161-P$129&gt;P$116, NOT($A161-P$129&gt;0)), 0, IF($A161-P$129=P$116, P$126-SUM(P$131:P160), ROUND(PPMT(P$115, $A161-P$129, P$116, -P$126), -3)))</f>
        <v>0</v>
      </c>
      <c r="Q161" s="15">
        <f>IF(OR(Q$126=0, $A161-Q$129&gt;Q$116, NOT($A161-Q$129&gt;0)), 0, IF($A161-Q$129=Q$116, Q$126-SUM(Q$131:Q160), ROUND(PPMT(Q$115, $A161-Q$129, Q$116, -Q$126), -3)))</f>
        <v>3677000</v>
      </c>
      <c r="R161" s="15">
        <f>IF(OR(R$126=0, $A161-R$129&gt;R$116, NOT($A161-R$129&gt;0)), 0, IF($A161-R$129=R$116, R$126-SUM(R$131:R160), ROUND(PPMT(R$115, $A161-R$129, R$116, -R$126), -3)))</f>
        <v>3537000</v>
      </c>
      <c r="S161" s="15">
        <f>IF(OR(S$126=0, $A161-S$129&gt;S$116, NOT($A161-S$129&gt;0)), 0, IF($A161-S$129=S$116, S$126-SUM(S$131:S160), ROUND(PPMT(S$115, $A161-S$129, S$116, -S$126), -3)))</f>
        <v>3575000</v>
      </c>
      <c r="T161" s="15">
        <f>IF(OR(T$126=0, $A161-T$129&gt;T$116, NOT($A161-T$129&gt;0)), 0, IF($A161-T$129=T$116, T$126-SUM(T$131:T160), ROUND(PPMT(T$115, $A161-T$129, T$116, -T$126), -3)))</f>
        <v>3506000</v>
      </c>
      <c r="U161" s="15">
        <f>IF(OR(U$126=0, $A161-U$129&gt;U$116, NOT($A161-U$129&gt;0)), 0, IF($A161-U$129=U$116, U$126-SUM(U$131:U160), ROUND(PPMT(U$115, $A161-U$129, U$116, -U$126), -3)))</f>
        <v>0</v>
      </c>
      <c r="V161" s="15">
        <f>IF(OR(V$126=0, $A161-V$129&gt;V$116, NOT($A161-V$129&gt;0)), 0, IF($A161-V$129=V$116, V$126-SUM(V$131:V160), ROUND(PPMT(V$115, $A161-V$129, V$116, -V$126), -3)))</f>
        <v>3922000</v>
      </c>
      <c r="W161" s="15">
        <f>IF(OR(W$126=0, $A161-W$129&gt;W$116, NOT($A161-W$129&gt;0)), 0, IF($A161-W$129=W$116, W$126-SUM(W$131:W160), ROUND(PPMT(W$115, $A161-W$129, W$116, -W$126), -3)))</f>
        <v>4058000</v>
      </c>
      <c r="X161" s="15">
        <f>IF(OR(X$126=0, $A161-X$129&gt;X$116, NOT($A161-X$129&gt;0)), 0, IF($A161-X$129=X$116, X$126-SUM(X$131:X160), ROUND(PPMT(X$115, $A161-X$129, X$116, -X$126), -3)))</f>
        <v>3804000</v>
      </c>
      <c r="Y161" s="15">
        <f>IF(OR(Y$126=0, $A161-Y$129&gt;Y$116, NOT($A161-Y$129&gt;0)), 0, IF($A161-Y$129=Y$116, Y$126-SUM(Y$131:Y160), ROUND(PPMT(Y$115, $A161-Y$129, Y$116, -Y$126), -3)))</f>
        <v>0</v>
      </c>
      <c r="Z161" s="15">
        <f>IF(OR(Z$126=0, $A161-Z$129&gt;Z$116, NOT($A161-Z$129&gt;0)), 0, IF($A161-Z$129=Z$116, Z$126-SUM(Z$131:Z160), ROUND(PPMT(Z$115, $A161-Z$129, Z$116, -Z$126), -3)))</f>
        <v>0</v>
      </c>
      <c r="AA161" s="15">
        <f>IF(OR(AA$126=0, $A161-AA$129&gt;AA$116, NOT($A161-AA$129&gt;0)), 0, IF($A161-AA$129=AA$116, AA$126-SUM(AA$131:AA160), ROUND(PPMT(AA$115, $A161-AA$129, AA$116, -AA$126), -3)))</f>
        <v>0</v>
      </c>
      <c r="AB161" s="15">
        <f>IF(OR(AB$126=0, $A161-AB$129&gt;AB$116, NOT($A161-AB$129&gt;0)), 0, IF($A161-AB$129=AB$116, AB$126-SUM(AB$131:AB160), ROUND(PPMT(AB$115, $A161-AB$129, AB$116, -AB$126), -3)))</f>
        <v>4939000</v>
      </c>
      <c r="AC161" s="15">
        <f>IF(OR(AC$126=0, $A161-AC$129&gt;AC$116, NOT($A161-AC$129&gt;0)), 0, IF($A161-AC$129=AC$116, AC$126-SUM(AC$131:AC160), ROUND(PPMT(AC$115, $A161-AC$129, AC$116, -AC$126), -3)))</f>
        <v>4303000</v>
      </c>
      <c r="AD161" s="15">
        <f>IF(OR(AD$126=0, $A161-AD$129&gt;AD$116, NOT($A161-AD$129&gt;0)), 0, IF($A161-AD$129=AD$116, AD$126-SUM(AD$131:AD160), ROUND(PPMT(AD$115, $A161-AD$129, AD$116, -AD$126), -3)))</f>
        <v>0</v>
      </c>
      <c r="AE161" s="15">
        <f>IF(OR(AE$126=0, $A161-AE$129&gt;AE$116, NOT($A161-AE$129&gt;0)), 0, IF($A161-AE$129=AE$116, AE$126-SUM(AE$131:AE160), ROUND(PPMT(AE$115, $A161-AE$129, AE$116, -AE$126), -3)))</f>
        <v>0</v>
      </c>
      <c r="AF161" s="15">
        <f>IF(OR(AF$126=0, $A161-AF$129&gt;AF$116, NOT($A161-AF$129&gt;0)), 0, IF($A161-AF$129=AF$116, AF$126-SUM(AF$131:AF160), ROUND(PPMT(AF$115, $A161-AF$129, AF$116, -AF$126), -3)))</f>
        <v>0</v>
      </c>
      <c r="AG161" s="15">
        <f>IF(OR(AG$126=0, $A161-AG$129&gt;AG$116, NOT($A161-AG$129&gt;0)), 0, IF($A161-AG$129=AG$116, AG$126-SUM(AG$131:AG160), ROUND(PPMT(AG$115, $A161-AG$129, AG$116, -AG$126), -3)))</f>
        <v>0</v>
      </c>
      <c r="AH161" s="15">
        <f>IF(OR(AH$126=0, $A161-AH$129&gt;AH$116, NOT($A161-AH$129&gt;0)), 0, IF($A161-AH$129=AH$116, AH$126-SUM(AH$131:AH160), ROUND(PPMT(AH$115, $A161-AH$129, AH$116, -AH$126), -3)))</f>
        <v>0</v>
      </c>
      <c r="AI161" s="15">
        <f>IF(OR(AI$126=0, $A161-AI$129&gt;AI$116, NOT($A161-AI$129&gt;0)), 0, IF($A161-AI$129=AI$116, AI$126-SUM(AI$131:AI160), ROUND(PPMT(AI$115, $A161-AI$129, AI$116, -AI$126), -3)))</f>
        <v>0</v>
      </c>
      <c r="AJ161" s="15">
        <f>IF(OR(AJ$126=0, $A161-AJ$129&gt;AJ$116, NOT($A161-AJ$129&gt;0)), 0, IF($A161-AJ$129=AJ$116, AJ$126-SUM(AJ$131:AJ160), ROUND(PPMT(AJ$115, $A161-AJ$129, AJ$116, -AJ$126), -3)))</f>
        <v>0</v>
      </c>
      <c r="AK161" s="15">
        <f>IF(OR(AK$126=0, $A161-AK$129&gt;AK$116, NOT($A161-AK$129&gt;0)), 0, IF($A161-AK$129=AK$116, AK$126-SUM(AK$131:AK160), ROUND(PPMT(AK$115, $A161-AK$129, AK$116, -AK$126), -3)))</f>
        <v>0</v>
      </c>
      <c r="AL161" s="15">
        <f>IF(OR(AL$126=0, $A161-AL$129&gt;AL$116, NOT($A161-AL$129&gt;0)), 0, IF($A161-AL$129=AL$116, AL$126-SUM(AL$131:AL160), ROUND(PPMT(AL$115, $A161-AL$129, AL$116, -AL$126), -3)))</f>
        <v>0</v>
      </c>
      <c r="AM161" s="15">
        <f>IF(OR(AM$126=0, $A161-AM$129&gt;AM$116, NOT($A161-AM$129&gt;0)), 0, IF($A161-AM$129=AM$116, AM$126-SUM(AM$131:AM160), ROUND(PPMT(AM$115, $A161-AM$129, AM$116, -AM$126), -3)))</f>
        <v>0</v>
      </c>
    </row>
    <row r="162" spans="1:41" outlineLevel="1">
      <c r="A162" s="40">
        <f t="shared" si="105"/>
        <v>2055</v>
      </c>
      <c r="B162" s="46"/>
      <c r="C162" s="15">
        <f>IF(OR(C$126=0, $A162-C$129&gt;C$116, NOT($A162-C$129&gt;0)), 0, IF($A162-C$129=C$116, C$126-SUM(C$131:C161), ROUND(PPMT(C$115, $A162-C$129, C$116, -C$126), -3)))</f>
        <v>0</v>
      </c>
      <c r="D162" s="15">
        <f>IF(OR(D$126=0, $A162-D$129&gt;D$116, NOT($A162-D$129&gt;0)), 0, IF($A162-D$129=D$116, D$126-SUM(D$131:D161), ROUND(PPMT(D$115, $A162-D$129, D$116, -D$126), -3)))</f>
        <v>0</v>
      </c>
      <c r="E162" s="15">
        <f>IF(OR(E$126=0, $A162-E$129&gt;E$116, NOT($A162-E$129&gt;0)), 0, IF($A162-E$129=E$116, E$126-SUM(E$131:E161), ROUND(PPMT(E$115, $A162-E$129, E$116, -E$126), -3)))</f>
        <v>0</v>
      </c>
      <c r="F162" s="46">
        <f>IF(OR(F$126=0, $A162-F$129&gt;F$116, NOT($A162-F$129&gt;0)), 0, IF($A162-F$129=F$116, F$126-SUM(F$131:F161), ROUND(PPMT(F$115, $A162-F$129, F$116, -F$126), -3)))</f>
        <v>0</v>
      </c>
      <c r="G162" s="15">
        <f>IF(OR(G$126=0, $A162-G$129&gt;G$116, NOT($A162-G$129&gt;0)), 0, IF($A162-G$129=G$116, G$126-SUM(G$131:G161), ROUND(PPMT(G$115, $A162-G$129, G$116, -G$126), -3)))</f>
        <v>0</v>
      </c>
      <c r="H162" s="15">
        <f>IF(OR(H$126=0, $A162-H$129&gt;H$116, NOT($A162-H$129&gt;0)), 0, IF($A162-H$129=H$116, H$126-SUM(H$131:H161), ROUND(PPMT(H$115, $A162-H$129, H$116, -H$126), -3)))</f>
        <v>0</v>
      </c>
      <c r="I162" s="15">
        <f>IF(OR(I$126=0, $A162-I$129&gt;I$116, NOT($A162-I$129&gt;0)), 0, IF($A162-I$129=I$116, I$126-SUM(I$131:I161), ROUND(PPMT(I$115, $A162-I$129, I$116, -I$126), -3)))</f>
        <v>0</v>
      </c>
      <c r="J162" s="15">
        <f>IF(OR(J$126=0, $A162-J$129&gt;J$116, NOT($A162-J$129&gt;0)), 0, IF($A162-J$129=J$116, J$126-SUM(J$131:J161), ROUND(PPMT(J$115, $A162-J$129, J$116, -J$126), -3)))</f>
        <v>0</v>
      </c>
      <c r="K162" s="15">
        <f>IF(OR(K$126=0, $A162-K$129&gt;K$116, NOT($A162-K$129&gt;0)), 0, IF($A162-K$129=K$116, K$126-SUM(K$131:K161), ROUND(PPMT(K$115, $A162-K$129, K$116, -K$126), -3)))</f>
        <v>0</v>
      </c>
      <c r="L162" s="15">
        <f>IF(OR(L$126=0, $A162-L$129&gt;L$116, NOT($A162-L$129&gt;0)), 0, IF($A162-L$129=L$116, L$126-SUM(L$131:L161), ROUND(PPMT(L$115, $A162-L$129, L$116, -L$126), -3)))</f>
        <v>0</v>
      </c>
      <c r="M162" s="15">
        <f>IF(OR(M$126=0, $A162-M$129&gt;M$116, NOT($A162-M$129&gt;0)), 0, IF($A162-M$129=M$116, M$126-SUM(M$131:M161), ROUND(PPMT(M$115, $A162-M$129, M$116, -M$126), -3)))</f>
        <v>0</v>
      </c>
      <c r="N162" s="15">
        <f>IF(OR(N$126=0, $A162-N$129&gt;N$116, NOT($A162-N$129&gt;0)), 0, IF($A162-N$129=N$116, N$126-SUM(N$131:N161), ROUND(PPMT(N$115, $A162-N$129, N$116, -N$126), -3)))</f>
        <v>0</v>
      </c>
      <c r="O162" s="15">
        <f>IF(OR(O$126=0, $A162-O$129&gt;O$116, NOT($A162-O$129&gt;0)), 0, IF($A162-O$129=O$116, O$126-SUM(O$131:O161), ROUND(PPMT(O$115, $A162-O$129, O$116, -O$126), -3)))</f>
        <v>3768000</v>
      </c>
      <c r="P162" s="15">
        <f>IF(OR(P$126=0, $A162-P$129&gt;P$116, NOT($A162-P$129&gt;0)), 0, IF($A162-P$129=P$116, P$126-SUM(P$131:P161), ROUND(PPMT(P$115, $A162-P$129, P$116, -P$126), -3)))</f>
        <v>0</v>
      </c>
      <c r="Q162" s="15">
        <f>IF(OR(Q$126=0, $A162-Q$129&gt;Q$116, NOT($A162-Q$129&gt;0)), 0, IF($A162-Q$129=Q$116, Q$126-SUM(Q$131:Q161), ROUND(PPMT(Q$115, $A162-Q$129, Q$116, -Q$126), -3)))</f>
        <v>3880000</v>
      </c>
      <c r="R162" s="15">
        <f>IF(OR(R$126=0, $A162-R$129&gt;R$116, NOT($A162-R$129&gt;0)), 0, IF($A162-R$129=R$116, R$126-SUM(R$131:R161), ROUND(PPMT(R$115, $A162-R$129, R$116, -R$126), -3)))</f>
        <v>3732000</v>
      </c>
      <c r="S162" s="15">
        <f>IF(OR(S$126=0, $A162-S$129&gt;S$116, NOT($A162-S$129&gt;0)), 0, IF($A162-S$129=S$116, S$126-SUM(S$131:S161), ROUND(PPMT(S$115, $A162-S$129, S$116, -S$126), -3)))</f>
        <v>3772000</v>
      </c>
      <c r="T162" s="15">
        <f>IF(OR(T$126=0, $A162-T$129&gt;T$116, NOT($A162-T$129&gt;0)), 0, IF($A162-T$129=T$116, T$126-SUM(T$131:T161), ROUND(PPMT(T$115, $A162-T$129, T$116, -T$126), -3)))</f>
        <v>3698000</v>
      </c>
      <c r="U162" s="15">
        <f>IF(OR(U$126=0, $A162-U$129&gt;U$116, NOT($A162-U$129&gt;0)), 0, IF($A162-U$129=U$116, U$126-SUM(U$131:U161), ROUND(PPMT(U$115, $A162-U$129, U$116, -U$126), -3)))</f>
        <v>0</v>
      </c>
      <c r="V162" s="15">
        <f>IF(OR(V$126=0, $A162-V$129&gt;V$116, NOT($A162-V$129&gt;0)), 0, IF($A162-V$129=V$116, V$126-SUM(V$131:V161), ROUND(PPMT(V$115, $A162-V$129, V$116, -V$126), -3)))</f>
        <v>4118000</v>
      </c>
      <c r="W162" s="15">
        <f>IF(OR(W$126=0, $A162-W$129&gt;W$116, NOT($A162-W$129&gt;0)), 0, IF($A162-W$129=W$116, W$126-SUM(W$131:W161), ROUND(PPMT(W$115, $A162-W$129, W$116, -W$126), -3)))</f>
        <v>4261000</v>
      </c>
      <c r="X162" s="15">
        <f>IF(OR(X$126=0, $A162-X$129&gt;X$116, NOT($A162-X$129&gt;0)), 0, IF($A162-X$129=X$116, X$126-SUM(X$131:X161), ROUND(PPMT(X$115, $A162-X$129, X$116, -X$126), -3)))</f>
        <v>3994000</v>
      </c>
      <c r="Y162" s="15">
        <f>IF(OR(Y$126=0, $A162-Y$129&gt;Y$116, NOT($A162-Y$129&gt;0)), 0, IF($A162-Y$129=Y$116, Y$126-SUM(Y$131:Y161), ROUND(PPMT(Y$115, $A162-Y$129, Y$116, -Y$126), -3)))</f>
        <v>0</v>
      </c>
      <c r="Z162" s="15">
        <f>IF(OR(Z$126=0, $A162-Z$129&gt;Z$116, NOT($A162-Z$129&gt;0)), 0, IF($A162-Z$129=Z$116, Z$126-SUM(Z$131:Z161), ROUND(PPMT(Z$115, $A162-Z$129, Z$116, -Z$126), -3)))</f>
        <v>0</v>
      </c>
      <c r="AA162" s="15">
        <f>IF(OR(AA$126=0, $A162-AA$129&gt;AA$116, NOT($A162-AA$129&gt;0)), 0, IF($A162-AA$129=AA$116, AA$126-SUM(AA$131:AA161), ROUND(PPMT(AA$115, $A162-AA$129, AA$116, -AA$126), -3)))</f>
        <v>0</v>
      </c>
      <c r="AB162" s="15">
        <f>IF(OR(AB$126=0, $A162-AB$129&gt;AB$116, NOT($A162-AB$129&gt;0)), 0, IF($A162-AB$129=AB$116, AB$126-SUM(AB$131:AB161), ROUND(PPMT(AB$115, $A162-AB$129, AB$116, -AB$126), -3)))</f>
        <v>5161000</v>
      </c>
      <c r="AC162" s="15">
        <f>IF(OR(AC$126=0, $A162-AC$129&gt;AC$116, NOT($A162-AC$129&gt;0)), 0, IF($A162-AC$129=AC$116, AC$126-SUM(AC$131:AC161), ROUND(PPMT(AC$115, $A162-AC$129, AC$116, -AC$126), -3)))</f>
        <v>4496000</v>
      </c>
      <c r="AD162" s="15">
        <f>IF(OR(AD$126=0, $A162-AD$129&gt;AD$116, NOT($A162-AD$129&gt;0)), 0, IF($A162-AD$129=AD$116, AD$126-SUM(AD$131:AD161), ROUND(PPMT(AD$115, $A162-AD$129, AD$116, -AD$126), -3)))</f>
        <v>0</v>
      </c>
      <c r="AE162" s="15">
        <f>IF(OR(AE$126=0, $A162-AE$129&gt;AE$116, NOT($A162-AE$129&gt;0)), 0, IF($A162-AE$129=AE$116, AE$126-SUM(AE$131:AE161), ROUND(PPMT(AE$115, $A162-AE$129, AE$116, -AE$126), -3)))</f>
        <v>0</v>
      </c>
      <c r="AF162" s="15">
        <f>IF(OR(AF$126=0, $A162-AF$129&gt;AF$116, NOT($A162-AF$129&gt;0)), 0, IF($A162-AF$129=AF$116, AF$126-SUM(AF$131:AF161), ROUND(PPMT(AF$115, $A162-AF$129, AF$116, -AF$126), -3)))</f>
        <v>0</v>
      </c>
      <c r="AG162" s="15">
        <f>IF(OR(AG$126=0, $A162-AG$129&gt;AG$116, NOT($A162-AG$129&gt;0)), 0, IF($A162-AG$129=AG$116, AG$126-SUM(AG$131:AG161), ROUND(PPMT(AG$115, $A162-AG$129, AG$116, -AG$126), -3)))</f>
        <v>0</v>
      </c>
      <c r="AH162" s="15">
        <f>IF(OR(AH$126=0, $A162-AH$129&gt;AH$116, NOT($A162-AH$129&gt;0)), 0, IF($A162-AH$129=AH$116, AH$126-SUM(AH$131:AH161), ROUND(PPMT(AH$115, $A162-AH$129, AH$116, -AH$126), -3)))</f>
        <v>0</v>
      </c>
      <c r="AI162" s="15">
        <f>IF(OR(AI$126=0, $A162-AI$129&gt;AI$116, NOT($A162-AI$129&gt;0)), 0, IF($A162-AI$129=AI$116, AI$126-SUM(AI$131:AI161), ROUND(PPMT(AI$115, $A162-AI$129, AI$116, -AI$126), -3)))</f>
        <v>0</v>
      </c>
      <c r="AJ162" s="15">
        <f>IF(OR(AJ$126=0, $A162-AJ$129&gt;AJ$116, NOT($A162-AJ$129&gt;0)), 0, IF($A162-AJ$129=AJ$116, AJ$126-SUM(AJ$131:AJ161), ROUND(PPMT(AJ$115, $A162-AJ$129, AJ$116, -AJ$126), -3)))</f>
        <v>0</v>
      </c>
      <c r="AK162" s="15">
        <f>IF(OR(AK$126=0, $A162-AK$129&gt;AK$116, NOT($A162-AK$129&gt;0)), 0, IF($A162-AK$129=AK$116, AK$126-SUM(AK$131:AK161), ROUND(PPMT(AK$115, $A162-AK$129, AK$116, -AK$126), -3)))</f>
        <v>0</v>
      </c>
      <c r="AL162" s="15">
        <f>IF(OR(AL$126=0, $A162-AL$129&gt;AL$116, NOT($A162-AL$129&gt;0)), 0, IF($A162-AL$129=AL$116, AL$126-SUM(AL$131:AL161), ROUND(PPMT(AL$115, $A162-AL$129, AL$116, -AL$126), -3)))</f>
        <v>0</v>
      </c>
      <c r="AM162" s="15">
        <f>IF(OR(AM$126=0, $A162-AM$129&gt;AM$116, NOT($A162-AM$129&gt;0)), 0, IF($A162-AM$129=AM$116, AM$126-SUM(AM$131:AM161), ROUND(PPMT(AM$115, $A162-AM$129, AM$116, -AM$126), -3)))</f>
        <v>0</v>
      </c>
    </row>
    <row r="163" spans="1:41" outlineLevel="1">
      <c r="A163" s="40">
        <f t="shared" si="105"/>
        <v>2056</v>
      </c>
      <c r="B163" s="46"/>
      <c r="C163" s="15">
        <f>IF(OR(C$126=0, $A163-C$129&gt;C$116, NOT($A163-C$129&gt;0)), 0, IF($A163-C$129=C$116, C$126-SUM(C$131:C162), ROUND(PPMT(C$115, $A163-C$129, C$116, -C$126), -3)))</f>
        <v>0</v>
      </c>
      <c r="D163" s="15">
        <f>IF(OR(D$126=0, $A163-D$129&gt;D$116, NOT($A163-D$129&gt;0)), 0, IF($A163-D$129=D$116, D$126-SUM(D$131:D162), ROUND(PPMT(D$115, $A163-D$129, D$116, -D$126), -3)))</f>
        <v>0</v>
      </c>
      <c r="E163" s="15">
        <f>IF(OR(E$126=0, $A163-E$129&gt;E$116, NOT($A163-E$129&gt;0)), 0, IF($A163-E$129=E$116, E$126-SUM(E$131:E162), ROUND(PPMT(E$115, $A163-E$129, E$116, -E$126), -3)))</f>
        <v>0</v>
      </c>
      <c r="F163" s="46">
        <f>IF(OR(F$126=0, $A163-F$129&gt;F$116, NOT($A163-F$129&gt;0)), 0, IF($A163-F$129=F$116, F$126-SUM(F$131:F162), ROUND(PPMT(F$115, $A163-F$129, F$116, -F$126), -3)))</f>
        <v>0</v>
      </c>
      <c r="G163" s="15">
        <f>IF(OR(G$126=0, $A163-G$129&gt;G$116, NOT($A163-G$129&gt;0)), 0, IF($A163-G$129=G$116, G$126-SUM(G$131:G162), ROUND(PPMT(G$115, $A163-G$129, G$116, -G$126), -3)))</f>
        <v>0</v>
      </c>
      <c r="H163" s="15">
        <f>IF(OR(H$126=0, $A163-H$129&gt;H$116, NOT($A163-H$129&gt;0)), 0, IF($A163-H$129=H$116, H$126-SUM(H$131:H162), ROUND(PPMT(H$115, $A163-H$129, H$116, -H$126), -3)))</f>
        <v>0</v>
      </c>
      <c r="I163" s="15">
        <f>IF(OR(I$126=0, $A163-I$129&gt;I$116, NOT($A163-I$129&gt;0)), 0, IF($A163-I$129=I$116, I$126-SUM(I$131:I162), ROUND(PPMT(I$115, $A163-I$129, I$116, -I$126), -3)))</f>
        <v>0</v>
      </c>
      <c r="J163" s="15">
        <f>IF(OR(J$126=0, $A163-J$129&gt;J$116, NOT($A163-J$129&gt;0)), 0, IF($A163-J$129=J$116, J$126-SUM(J$131:J162), ROUND(PPMT(J$115, $A163-J$129, J$116, -J$126), -3)))</f>
        <v>0</v>
      </c>
      <c r="K163" s="15">
        <f>IF(OR(K$126=0, $A163-K$129&gt;K$116, NOT($A163-K$129&gt;0)), 0, IF($A163-K$129=K$116, K$126-SUM(K$131:K162), ROUND(PPMT(K$115, $A163-K$129, K$116, -K$126), -3)))</f>
        <v>0</v>
      </c>
      <c r="L163" s="15">
        <f>IF(OR(L$126=0, $A163-L$129&gt;L$116, NOT($A163-L$129&gt;0)), 0, IF($A163-L$129=L$116, L$126-SUM(L$131:L162), ROUND(PPMT(L$115, $A163-L$129, L$116, -L$126), -3)))</f>
        <v>0</v>
      </c>
      <c r="M163" s="15">
        <f>IF(OR(M$126=0, $A163-M$129&gt;M$116, NOT($A163-M$129&gt;0)), 0, IF($A163-M$129=M$116, M$126-SUM(M$131:M162), ROUND(PPMT(M$115, $A163-M$129, M$116, -M$126), -3)))</f>
        <v>0</v>
      </c>
      <c r="N163" s="15">
        <f>IF(OR(N$126=0, $A163-N$129&gt;N$116, NOT($A163-N$129&gt;0)), 0, IF($A163-N$129=N$116, N$126-SUM(N$131:N162), ROUND(PPMT(N$115, $A163-N$129, N$116, -N$126), -3)))</f>
        <v>0</v>
      </c>
      <c r="O163" s="15">
        <f>IF(OR(O$126=0, $A163-O$129&gt;O$116, NOT($A163-O$129&gt;0)), 0, IF($A163-O$129=O$116, O$126-SUM(O$131:O162), ROUND(PPMT(O$115, $A163-O$129, O$116, -O$126), -3)))</f>
        <v>3976000</v>
      </c>
      <c r="P163" s="15">
        <f>IF(OR(P$126=0, $A163-P$129&gt;P$116, NOT($A163-P$129&gt;0)), 0, IF($A163-P$129=P$116, P$126-SUM(P$131:P162), ROUND(PPMT(P$115, $A163-P$129, P$116, -P$126), -3)))</f>
        <v>0</v>
      </c>
      <c r="Q163" s="15">
        <f>IF(OR(Q$126=0, $A163-Q$129&gt;Q$116, NOT($A163-Q$129&gt;0)), 0, IF($A163-Q$129=Q$116, Q$126-SUM(Q$131:Q162), ROUND(PPMT(Q$115, $A163-Q$129, Q$116, -Q$126), -3)))</f>
        <v>4093000</v>
      </c>
      <c r="R163" s="15">
        <f>IF(OR(R$126=0, $A163-R$129&gt;R$116, NOT($A163-R$129&gt;0)), 0, IF($A163-R$129=R$116, R$126-SUM(R$131:R162), ROUND(PPMT(R$115, $A163-R$129, R$116, -R$126), -3)))</f>
        <v>3937000</v>
      </c>
      <c r="S163" s="15">
        <f>IF(OR(S$126=0, $A163-S$129&gt;S$116, NOT($A163-S$129&gt;0)), 0, IF($A163-S$129=S$116, S$126-SUM(S$131:S162), ROUND(PPMT(S$115, $A163-S$129, S$116, -S$126), -3)))</f>
        <v>3979000</v>
      </c>
      <c r="T163" s="15">
        <f>IF(OR(T$126=0, $A163-T$129&gt;T$116, NOT($A163-T$129&gt;0)), 0, IF($A163-T$129=T$116, T$126-SUM(T$131:T162), ROUND(PPMT(T$115, $A163-T$129, T$116, -T$126), -3)))</f>
        <v>3902000</v>
      </c>
      <c r="U163" s="15">
        <f>IF(OR(U$126=0, $A163-U$129&gt;U$116, NOT($A163-U$129&gt;0)), 0, IF($A163-U$129=U$116, U$126-SUM(U$131:U162), ROUND(PPMT(U$115, $A163-U$129, U$116, -U$126), -3)))</f>
        <v>0</v>
      </c>
      <c r="V163" s="15">
        <f>IF(OR(V$126=0, $A163-V$129&gt;V$116, NOT($A163-V$129&gt;0)), 0, IF($A163-V$129=V$116, V$126-SUM(V$131:V162), ROUND(PPMT(V$115, $A163-V$129, V$116, -V$126), -3)))</f>
        <v>4324000</v>
      </c>
      <c r="W163" s="15">
        <f>IF(OR(W$126=0, $A163-W$129&gt;W$116, NOT($A163-W$129&gt;0)), 0, IF($A163-W$129=W$116, W$126-SUM(W$131:W162), ROUND(PPMT(W$115, $A163-W$129, W$116, -W$126), -3)))</f>
        <v>4474000</v>
      </c>
      <c r="X163" s="15">
        <f>IF(OR(X$126=0, $A163-X$129&gt;X$116, NOT($A163-X$129&gt;0)), 0, IF($A163-X$129=X$116, X$126-SUM(X$131:X162), ROUND(PPMT(X$115, $A163-X$129, X$116, -X$126), -3)))</f>
        <v>4194000</v>
      </c>
      <c r="Y163" s="15">
        <f>IF(OR(Y$126=0, $A163-Y$129&gt;Y$116, NOT($A163-Y$129&gt;0)), 0, IF($A163-Y$129=Y$116, Y$126-SUM(Y$131:Y162), ROUND(PPMT(Y$115, $A163-Y$129, Y$116, -Y$126), -3)))</f>
        <v>0</v>
      </c>
      <c r="Z163" s="15">
        <f>IF(OR(Z$126=0, $A163-Z$129&gt;Z$116, NOT($A163-Z$129&gt;0)), 0, IF($A163-Z$129=Z$116, Z$126-SUM(Z$131:Z162), ROUND(PPMT(Z$115, $A163-Z$129, Z$116, -Z$126), -3)))</f>
        <v>0</v>
      </c>
      <c r="AA163" s="15">
        <f>IF(OR(AA$126=0, $A163-AA$129&gt;AA$116, NOT($A163-AA$129&gt;0)), 0, IF($A163-AA$129=AA$116, AA$126-SUM(AA$131:AA162), ROUND(PPMT(AA$115, $A163-AA$129, AA$116, -AA$126), -3)))</f>
        <v>0</v>
      </c>
      <c r="AB163" s="15">
        <f>IF(OR(AB$126=0, $A163-AB$129&gt;AB$116, NOT($A163-AB$129&gt;0)), 0, IF($A163-AB$129=AB$116, AB$126-SUM(AB$131:AB162), ROUND(PPMT(AB$115, $A163-AB$129, AB$116, -AB$126), -3)))</f>
        <v>5393000</v>
      </c>
      <c r="AC163" s="15">
        <f>IF(OR(AC$126=0, $A163-AC$129&gt;AC$116, NOT($A163-AC$129&gt;0)), 0, IF($A163-AC$129=AC$116, AC$126-SUM(AC$131:AC162), ROUND(PPMT(AC$115, $A163-AC$129, AC$116, -AC$126), -3)))</f>
        <v>4699000</v>
      </c>
      <c r="AD163" s="15">
        <f>IF(OR(AD$126=0, $A163-AD$129&gt;AD$116, NOT($A163-AD$129&gt;0)), 0, IF($A163-AD$129=AD$116, AD$126-SUM(AD$131:AD162), ROUND(PPMT(AD$115, $A163-AD$129, AD$116, -AD$126), -3)))</f>
        <v>0</v>
      </c>
      <c r="AE163" s="15">
        <f>IF(OR(AE$126=0, $A163-AE$129&gt;AE$116, NOT($A163-AE$129&gt;0)), 0, IF($A163-AE$129=AE$116, AE$126-SUM(AE$131:AE162), ROUND(PPMT(AE$115, $A163-AE$129, AE$116, -AE$126), -3)))</f>
        <v>0</v>
      </c>
      <c r="AF163" s="15">
        <f>IF(OR(AF$126=0, $A163-AF$129&gt;AF$116, NOT($A163-AF$129&gt;0)), 0, IF($A163-AF$129=AF$116, AF$126-SUM(AF$131:AF162), ROUND(PPMT(AF$115, $A163-AF$129, AF$116, -AF$126), -3)))</f>
        <v>0</v>
      </c>
      <c r="AG163" s="15">
        <f>IF(OR(AG$126=0, $A163-AG$129&gt;AG$116, NOT($A163-AG$129&gt;0)), 0, IF($A163-AG$129=AG$116, AG$126-SUM(AG$131:AG162), ROUND(PPMT(AG$115, $A163-AG$129, AG$116, -AG$126), -3)))</f>
        <v>0</v>
      </c>
      <c r="AH163" s="15">
        <f>IF(OR(AH$126=0, $A163-AH$129&gt;AH$116, NOT($A163-AH$129&gt;0)), 0, IF($A163-AH$129=AH$116, AH$126-SUM(AH$131:AH162), ROUND(PPMT(AH$115, $A163-AH$129, AH$116, -AH$126), -3)))</f>
        <v>0</v>
      </c>
      <c r="AI163" s="15">
        <f>IF(OR(AI$126=0, $A163-AI$129&gt;AI$116, NOT($A163-AI$129&gt;0)), 0, IF($A163-AI$129=AI$116, AI$126-SUM(AI$131:AI162), ROUND(PPMT(AI$115, $A163-AI$129, AI$116, -AI$126), -3)))</f>
        <v>0</v>
      </c>
      <c r="AJ163" s="15">
        <f>IF(OR(AJ$126=0, $A163-AJ$129&gt;AJ$116, NOT($A163-AJ$129&gt;0)), 0, IF($A163-AJ$129=AJ$116, AJ$126-SUM(AJ$131:AJ162), ROUND(PPMT(AJ$115, $A163-AJ$129, AJ$116, -AJ$126), -3)))</f>
        <v>0</v>
      </c>
      <c r="AK163" s="15">
        <f>IF(OR(AK$126=0, $A163-AK$129&gt;AK$116, NOT($A163-AK$129&gt;0)), 0, IF($A163-AK$129=AK$116, AK$126-SUM(AK$131:AK162), ROUND(PPMT(AK$115, $A163-AK$129, AK$116, -AK$126), -3)))</f>
        <v>0</v>
      </c>
      <c r="AL163" s="15">
        <f>IF(OR(AL$126=0, $A163-AL$129&gt;AL$116, NOT($A163-AL$129&gt;0)), 0, IF($A163-AL$129=AL$116, AL$126-SUM(AL$131:AL162), ROUND(PPMT(AL$115, $A163-AL$129, AL$116, -AL$126), -3)))</f>
        <v>0</v>
      </c>
      <c r="AM163" s="15">
        <f>IF(OR(AM$126=0, $A163-AM$129&gt;AM$116, NOT($A163-AM$129&gt;0)), 0, IF($A163-AM$129=AM$116, AM$126-SUM(AM$131:AM162), ROUND(PPMT(AM$115, $A163-AM$129, AM$116, -AM$126), -3)))</f>
        <v>0</v>
      </c>
    </row>
    <row r="164" spans="1:41" outlineLevel="1">
      <c r="A164" s="40">
        <f t="shared" si="105"/>
        <v>2057</v>
      </c>
      <c r="B164" s="46"/>
      <c r="C164" s="15">
        <f>IF(OR(C$126=0, $A164-C$129&gt;C$116, NOT($A164-C$129&gt;0)), 0, IF($A164-C$129=C$116, C$126-SUM(C$131:C163), ROUND(PPMT(C$115, $A164-C$129, C$116, -C$126), -3)))</f>
        <v>0</v>
      </c>
      <c r="D164" s="15">
        <f>IF(OR(D$126=0, $A164-D$129&gt;D$116, NOT($A164-D$129&gt;0)), 0, IF($A164-D$129=D$116, D$126-SUM(D$131:D163), ROUND(PPMT(D$115, $A164-D$129, D$116, -D$126), -3)))</f>
        <v>0</v>
      </c>
      <c r="E164" s="15">
        <f>IF(OR(E$126=0, $A164-E$129&gt;E$116, NOT($A164-E$129&gt;0)), 0, IF($A164-E$129=E$116, E$126-SUM(E$131:E163), ROUND(PPMT(E$115, $A164-E$129, E$116, -E$126), -3)))</f>
        <v>0</v>
      </c>
      <c r="F164" s="46">
        <f>IF(OR(F$126=0, $A164-F$129&gt;F$116, NOT($A164-F$129&gt;0)), 0, IF($A164-F$129=F$116, F$126-SUM(F$131:F163), ROUND(PPMT(F$115, $A164-F$129, F$116, -F$126), -3)))</f>
        <v>0</v>
      </c>
      <c r="G164" s="15">
        <f>IF(OR(G$126=0, $A164-G$129&gt;G$116, NOT($A164-G$129&gt;0)), 0, IF($A164-G$129=G$116, G$126-SUM(G$131:G163), ROUND(PPMT(G$115, $A164-G$129, G$116, -G$126), -3)))</f>
        <v>0</v>
      </c>
      <c r="H164" s="15">
        <f>IF(OR(H$126=0, $A164-H$129&gt;H$116, NOT($A164-H$129&gt;0)), 0, IF($A164-H$129=H$116, H$126-SUM(H$131:H163), ROUND(PPMT(H$115, $A164-H$129, H$116, -H$126), -3)))</f>
        <v>0</v>
      </c>
      <c r="I164" s="15">
        <f>IF(OR(I$126=0, $A164-I$129&gt;I$116, NOT($A164-I$129&gt;0)), 0, IF($A164-I$129=I$116, I$126-SUM(I$131:I163), ROUND(PPMT(I$115, $A164-I$129, I$116, -I$126), -3)))</f>
        <v>0</v>
      </c>
      <c r="J164" s="15">
        <f>IF(OR(J$126=0, $A164-J$129&gt;J$116, NOT($A164-J$129&gt;0)), 0, IF($A164-J$129=J$116, J$126-SUM(J$131:J163), ROUND(PPMT(J$115, $A164-J$129, J$116, -J$126), -3)))</f>
        <v>0</v>
      </c>
      <c r="K164" s="15">
        <f>IF(OR(K$126=0, $A164-K$129&gt;K$116, NOT($A164-K$129&gt;0)), 0, IF($A164-K$129=K$116, K$126-SUM(K$131:K163), ROUND(PPMT(K$115, $A164-K$129, K$116, -K$126), -3)))</f>
        <v>0</v>
      </c>
      <c r="L164" s="15">
        <f>IF(OR(L$126=0, $A164-L$129&gt;L$116, NOT($A164-L$129&gt;0)), 0, IF($A164-L$129=L$116, L$126-SUM(L$131:L163), ROUND(PPMT(L$115, $A164-L$129, L$116, -L$126), -3)))</f>
        <v>0</v>
      </c>
      <c r="M164" s="15">
        <f>IF(OR(M$126=0, $A164-M$129&gt;M$116, NOT($A164-M$129&gt;0)), 0, IF($A164-M$129=M$116, M$126-SUM(M$131:M163), ROUND(PPMT(M$115, $A164-M$129, M$116, -M$126), -3)))</f>
        <v>0</v>
      </c>
      <c r="N164" s="15">
        <f>IF(OR(N$126=0, $A164-N$129&gt;N$116, NOT($A164-N$129&gt;0)), 0, IF($A164-N$129=N$116, N$126-SUM(N$131:N163), ROUND(PPMT(N$115, $A164-N$129, N$116, -N$126), -3)))</f>
        <v>0</v>
      </c>
      <c r="O164" s="15">
        <f>IF(OR(O$126=0, $A164-O$129&gt;O$116, NOT($A164-O$129&gt;0)), 0, IF($A164-O$129=O$116, O$126-SUM(O$131:O163), ROUND(PPMT(O$115, $A164-O$129, O$116, -O$126), -3)))</f>
        <v>0</v>
      </c>
      <c r="P164" s="15">
        <f>IF(OR(P$126=0, $A164-P$129&gt;P$116, NOT($A164-P$129&gt;0)), 0, IF($A164-P$129=P$116, P$126-SUM(P$131:P163), ROUND(PPMT(P$115, $A164-P$129, P$116, -P$126), -3)))</f>
        <v>0</v>
      </c>
      <c r="Q164" s="15">
        <f>IF(OR(Q$126=0, $A164-Q$129&gt;Q$116, NOT($A164-Q$129&gt;0)), 0, IF($A164-Q$129=Q$116, Q$126-SUM(Q$131:Q163), ROUND(PPMT(Q$115, $A164-Q$129, Q$116, -Q$126), -3)))</f>
        <v>4318000</v>
      </c>
      <c r="R164" s="15">
        <f>IF(OR(R$126=0, $A164-R$129&gt;R$116, NOT($A164-R$129&gt;0)), 0, IF($A164-R$129=R$116, R$126-SUM(R$131:R163), ROUND(PPMT(R$115, $A164-R$129, R$116, -R$126), -3)))</f>
        <v>4152000</v>
      </c>
      <c r="S164" s="15">
        <f>IF(OR(S$126=0, $A164-S$129&gt;S$116, NOT($A164-S$129&gt;0)), 0, IF($A164-S$129=S$116, S$126-SUM(S$131:S163), ROUND(PPMT(S$115, $A164-S$129, S$116, -S$126), -3)))</f>
        <v>4198000</v>
      </c>
      <c r="T164" s="15">
        <f>IF(OR(T$126=0, $A164-T$129&gt;T$116, NOT($A164-T$129&gt;0)), 0, IF($A164-T$129=T$116, T$126-SUM(T$131:T163), ROUND(PPMT(T$115, $A164-T$129, T$116, -T$126), -3)))</f>
        <v>4117000</v>
      </c>
      <c r="U164" s="15">
        <f>IF(OR(U$126=0, $A164-U$129&gt;U$116, NOT($A164-U$129&gt;0)), 0, IF($A164-U$129=U$116, U$126-SUM(U$131:U163), ROUND(PPMT(U$115, $A164-U$129, U$116, -U$126), -3)))</f>
        <v>0</v>
      </c>
      <c r="V164" s="15">
        <f>IF(OR(V$126=0, $A164-V$129&gt;V$116, NOT($A164-V$129&gt;0)), 0, IF($A164-V$129=V$116, V$126-SUM(V$131:V163), ROUND(PPMT(V$115, $A164-V$129, V$116, -V$126), -3)))</f>
        <v>4539000</v>
      </c>
      <c r="W164" s="15">
        <f>IF(OR(W$126=0, $A164-W$129&gt;W$116, NOT($A164-W$129&gt;0)), 0, IF($A164-W$129=W$116, W$126-SUM(W$131:W163), ROUND(PPMT(W$115, $A164-W$129, W$116, -W$126), -3)))</f>
        <v>4696000</v>
      </c>
      <c r="X164" s="15">
        <f>IF(OR(X$126=0, $A164-X$129&gt;X$116, NOT($A164-X$129&gt;0)), 0, IF($A164-X$129=X$116, X$126-SUM(X$131:X163), ROUND(PPMT(X$115, $A164-X$129, X$116, -X$126), -3)))</f>
        <v>4404000</v>
      </c>
      <c r="Y164" s="15">
        <f>IF(OR(Y$126=0, $A164-Y$129&gt;Y$116, NOT($A164-Y$129&gt;0)), 0, IF($A164-Y$129=Y$116, Y$126-SUM(Y$131:Y163), ROUND(PPMT(Y$115, $A164-Y$129, Y$116, -Y$126), -3)))</f>
        <v>0</v>
      </c>
      <c r="Z164" s="15">
        <f>IF(OR(Z$126=0, $A164-Z$129&gt;Z$116, NOT($A164-Z$129&gt;0)), 0, IF($A164-Z$129=Z$116, Z$126-SUM(Z$131:Z163), ROUND(PPMT(Z$115, $A164-Z$129, Z$116, -Z$126), -3)))</f>
        <v>0</v>
      </c>
      <c r="AA164" s="15">
        <f>IF(OR(AA$126=0, $A164-AA$129&gt;AA$116, NOT($A164-AA$129&gt;0)), 0, IF($A164-AA$129=AA$116, AA$126-SUM(AA$131:AA163), ROUND(PPMT(AA$115, $A164-AA$129, AA$116, -AA$126), -3)))</f>
        <v>0</v>
      </c>
      <c r="AB164" s="15">
        <f>IF(OR(AB$126=0, $A164-AB$129&gt;AB$116, NOT($A164-AB$129&gt;0)), 0, IF($A164-AB$129=AB$116, AB$126-SUM(AB$131:AB163), ROUND(PPMT(AB$115, $A164-AB$129, AB$116, -AB$126), -3)))</f>
        <v>5635000</v>
      </c>
      <c r="AC164" s="15">
        <f>IF(OR(AC$126=0, $A164-AC$129&gt;AC$116, NOT($A164-AC$129&gt;0)), 0, IF($A164-AC$129=AC$116, AC$126-SUM(AC$131:AC163), ROUND(PPMT(AC$115, $A164-AC$129, AC$116, -AC$126), -3)))</f>
        <v>4910000</v>
      </c>
      <c r="AD164" s="15">
        <f>IF(OR(AD$126=0, $A164-AD$129&gt;AD$116, NOT($A164-AD$129&gt;0)), 0, IF($A164-AD$129=AD$116, AD$126-SUM(AD$131:AD163), ROUND(PPMT(AD$115, $A164-AD$129, AD$116, -AD$126), -3)))</f>
        <v>0</v>
      </c>
      <c r="AE164" s="15">
        <f>IF(OR(AE$126=0, $A164-AE$129&gt;AE$116, NOT($A164-AE$129&gt;0)), 0, IF($A164-AE$129=AE$116, AE$126-SUM(AE$131:AE163), ROUND(PPMT(AE$115, $A164-AE$129, AE$116, -AE$126), -3)))</f>
        <v>0</v>
      </c>
      <c r="AF164" s="15">
        <f>IF(OR(AF$126=0, $A164-AF$129&gt;AF$116, NOT($A164-AF$129&gt;0)), 0, IF($A164-AF$129=AF$116, AF$126-SUM(AF$131:AF163), ROUND(PPMT(AF$115, $A164-AF$129, AF$116, -AF$126), -3)))</f>
        <v>0</v>
      </c>
      <c r="AG164" s="15">
        <f>IF(OR(AG$126=0, $A164-AG$129&gt;AG$116, NOT($A164-AG$129&gt;0)), 0, IF($A164-AG$129=AG$116, AG$126-SUM(AG$131:AG163), ROUND(PPMT(AG$115, $A164-AG$129, AG$116, -AG$126), -3)))</f>
        <v>0</v>
      </c>
      <c r="AH164" s="15">
        <f>IF(OR(AH$126=0, $A164-AH$129&gt;AH$116, NOT($A164-AH$129&gt;0)), 0, IF($A164-AH$129=AH$116, AH$126-SUM(AH$131:AH163), ROUND(PPMT(AH$115, $A164-AH$129, AH$116, -AH$126), -3)))</f>
        <v>0</v>
      </c>
      <c r="AI164" s="15">
        <f>IF(OR(AI$126=0, $A164-AI$129&gt;AI$116, NOT($A164-AI$129&gt;0)), 0, IF($A164-AI$129=AI$116, AI$126-SUM(AI$131:AI163), ROUND(PPMT(AI$115, $A164-AI$129, AI$116, -AI$126), -3)))</f>
        <v>0</v>
      </c>
      <c r="AJ164" s="15">
        <f>IF(OR(AJ$126=0, $A164-AJ$129&gt;AJ$116, NOT($A164-AJ$129&gt;0)), 0, IF($A164-AJ$129=AJ$116, AJ$126-SUM(AJ$131:AJ163), ROUND(PPMT(AJ$115, $A164-AJ$129, AJ$116, -AJ$126), -3)))</f>
        <v>0</v>
      </c>
      <c r="AK164" s="15">
        <f>IF(OR(AK$126=0, $A164-AK$129&gt;AK$116, NOT($A164-AK$129&gt;0)), 0, IF($A164-AK$129=AK$116, AK$126-SUM(AK$131:AK163), ROUND(PPMT(AK$115, $A164-AK$129, AK$116, -AK$126), -3)))</f>
        <v>0</v>
      </c>
      <c r="AL164" s="15">
        <f>IF(OR(AL$126=0, $A164-AL$129&gt;AL$116, NOT($A164-AL$129&gt;0)), 0, IF($A164-AL$129=AL$116, AL$126-SUM(AL$131:AL163), ROUND(PPMT(AL$115, $A164-AL$129, AL$116, -AL$126), -3)))</f>
        <v>0</v>
      </c>
      <c r="AM164" s="15">
        <f>IF(OR(AM$126=0, $A164-AM$129&gt;AM$116, NOT($A164-AM$129&gt;0)), 0, IF($A164-AM$129=AM$116, AM$126-SUM(AM$131:AM163), ROUND(PPMT(AM$115, $A164-AM$129, AM$116, -AM$126), -3)))</f>
        <v>0</v>
      </c>
    </row>
    <row r="165" spans="1:41" outlineLevel="1">
      <c r="A165" s="40">
        <f t="shared" si="105"/>
        <v>2058</v>
      </c>
      <c r="B165" s="46"/>
      <c r="C165" s="15">
        <f>IF(OR(C$126=0, $A165-C$129&gt;C$116, NOT($A165-C$129&gt;0)), 0, IF($A165-C$129=C$116, C$126-SUM(C$131:C164), ROUND(PPMT(C$115, $A165-C$129, C$116, -C$126), -3)))</f>
        <v>0</v>
      </c>
      <c r="D165" s="15">
        <f>IF(OR(D$126=0, $A165-D$129&gt;D$116, NOT($A165-D$129&gt;0)), 0, IF($A165-D$129=D$116, D$126-SUM(D$131:D164), ROUND(PPMT(D$115, $A165-D$129, D$116, -D$126), -3)))</f>
        <v>0</v>
      </c>
      <c r="E165" s="15">
        <f>IF(OR(E$126=0, $A165-E$129&gt;E$116, NOT($A165-E$129&gt;0)), 0, IF($A165-E$129=E$116, E$126-SUM(E$131:E164), ROUND(PPMT(E$115, $A165-E$129, E$116, -E$126), -3)))</f>
        <v>0</v>
      </c>
      <c r="F165" s="46">
        <f>IF(OR(F$126=0, $A165-F$129&gt;F$116, NOT($A165-F$129&gt;0)), 0, IF($A165-F$129=F$116, F$126-SUM(F$131:F164), ROUND(PPMT(F$115, $A165-F$129, F$116, -F$126), -3)))</f>
        <v>0</v>
      </c>
      <c r="G165" s="15">
        <f>IF(OR(G$126=0, $A165-G$129&gt;G$116, NOT($A165-G$129&gt;0)), 0, IF($A165-G$129=G$116, G$126-SUM(G$131:G164), ROUND(PPMT(G$115, $A165-G$129, G$116, -G$126), -3)))</f>
        <v>0</v>
      </c>
      <c r="H165" s="15">
        <f>IF(OR(H$126=0, $A165-H$129&gt;H$116, NOT($A165-H$129&gt;0)), 0, IF($A165-H$129=H$116, H$126-SUM(H$131:H164), ROUND(PPMT(H$115, $A165-H$129, H$116, -H$126), -3)))</f>
        <v>0</v>
      </c>
      <c r="I165" s="15">
        <f>IF(OR(I$126=0, $A165-I$129&gt;I$116, NOT($A165-I$129&gt;0)), 0, IF($A165-I$129=I$116, I$126-SUM(I$131:I164), ROUND(PPMT(I$115, $A165-I$129, I$116, -I$126), -3)))</f>
        <v>0</v>
      </c>
      <c r="J165" s="15">
        <f>IF(OR(J$126=0, $A165-J$129&gt;J$116, NOT($A165-J$129&gt;0)), 0, IF($A165-J$129=J$116, J$126-SUM(J$131:J164), ROUND(PPMT(J$115, $A165-J$129, J$116, -J$126), -3)))</f>
        <v>0</v>
      </c>
      <c r="K165" s="15">
        <f>IF(OR(K$126=0, $A165-K$129&gt;K$116, NOT($A165-K$129&gt;0)), 0, IF($A165-K$129=K$116, K$126-SUM(K$131:K164), ROUND(PPMT(K$115, $A165-K$129, K$116, -K$126), -3)))</f>
        <v>0</v>
      </c>
      <c r="L165" s="15">
        <f>IF(OR(L$126=0, $A165-L$129&gt;L$116, NOT($A165-L$129&gt;0)), 0, IF($A165-L$129=L$116, L$126-SUM(L$131:L164), ROUND(PPMT(L$115, $A165-L$129, L$116, -L$126), -3)))</f>
        <v>0</v>
      </c>
      <c r="M165" s="15">
        <f>IF(OR(M$126=0, $A165-M$129&gt;M$116, NOT($A165-M$129&gt;0)), 0, IF($A165-M$129=M$116, M$126-SUM(M$131:M164), ROUND(PPMT(M$115, $A165-M$129, M$116, -M$126), -3)))</f>
        <v>0</v>
      </c>
      <c r="N165" s="15">
        <f>IF(OR(N$126=0, $A165-N$129&gt;N$116, NOT($A165-N$129&gt;0)), 0, IF($A165-N$129=N$116, N$126-SUM(N$131:N164), ROUND(PPMT(N$115, $A165-N$129, N$116, -N$126), -3)))</f>
        <v>0</v>
      </c>
      <c r="O165" s="15">
        <f>IF(OR(O$126=0, $A165-O$129&gt;O$116, NOT($A165-O$129&gt;0)), 0, IF($A165-O$129=O$116, O$126-SUM(O$131:O164), ROUND(PPMT(O$115, $A165-O$129, O$116, -O$126), -3)))</f>
        <v>0</v>
      </c>
      <c r="P165" s="15">
        <f>IF(OR(P$126=0, $A165-P$129&gt;P$116, NOT($A165-P$129&gt;0)), 0, IF($A165-P$129=P$116, P$126-SUM(P$131:P164), ROUND(PPMT(P$115, $A165-P$129, P$116, -P$126), -3)))</f>
        <v>0</v>
      </c>
      <c r="Q165" s="15">
        <f>IF(OR(Q$126=0, $A165-Q$129&gt;Q$116, NOT($A165-Q$129&gt;0)), 0, IF($A165-Q$129=Q$116, Q$126-SUM(Q$131:Q164), ROUND(PPMT(Q$115, $A165-Q$129, Q$116, -Q$126), -3)))</f>
        <v>0</v>
      </c>
      <c r="R165" s="15">
        <f>IF(OR(R$126=0, $A165-R$129&gt;R$116, NOT($A165-R$129&gt;0)), 0, IF($A165-R$129=R$116, R$126-SUM(R$131:R164), ROUND(PPMT(R$115, $A165-R$129, R$116, -R$126), -3)))</f>
        <v>0</v>
      </c>
      <c r="S165" s="15">
        <f>IF(OR(S$126=0, $A165-S$129&gt;S$116, NOT($A165-S$129&gt;0)), 0, IF($A165-S$129=S$116, S$126-SUM(S$131:S164), ROUND(PPMT(S$115, $A165-S$129, S$116, -S$126), -3)))</f>
        <v>0</v>
      </c>
      <c r="T165" s="15">
        <f>IF(OR(T$126=0, $A165-T$129&gt;T$116, NOT($A165-T$129&gt;0)), 0, IF($A165-T$129=T$116, T$126-SUM(T$131:T164), ROUND(PPMT(T$115, $A165-T$129, T$116, -T$126), -3)))</f>
        <v>0</v>
      </c>
      <c r="U165" s="15">
        <f>IF(OR(U$126=0, $A165-U$129&gt;U$116, NOT($A165-U$129&gt;0)), 0, IF($A165-U$129=U$116, U$126-SUM(U$131:U164), ROUND(PPMT(U$115, $A165-U$129, U$116, -U$126), -3)))</f>
        <v>0</v>
      </c>
      <c r="V165" s="15">
        <f>IF(OR(V$126=0, $A165-V$129&gt;V$116, NOT($A165-V$129&gt;0)), 0, IF($A165-V$129=V$116, V$126-SUM(V$131:V164), ROUND(PPMT(V$115, $A165-V$129, V$116, -V$126), -3)))</f>
        <v>0</v>
      </c>
      <c r="W165" s="15">
        <f>IF(OR(W$126=0, $A165-W$129&gt;W$116, NOT($A165-W$129&gt;0)), 0, IF($A165-W$129=W$116, W$126-SUM(W$131:W164), ROUND(PPMT(W$115, $A165-W$129, W$116, -W$126), -3)))</f>
        <v>0</v>
      </c>
      <c r="X165" s="15">
        <f>IF(OR(X$126=0, $A165-X$129&gt;X$116, NOT($A165-X$129&gt;0)), 0, IF($A165-X$129=X$116, X$126-SUM(X$131:X164), ROUND(PPMT(X$115, $A165-X$129, X$116, -X$126), -3)))</f>
        <v>0</v>
      </c>
      <c r="Y165" s="15">
        <f>IF(OR(Y$126=0, $A165-Y$129&gt;Y$116, NOT($A165-Y$129&gt;0)), 0, IF($A165-Y$129=Y$116, Y$126-SUM(Y$131:Y164), ROUND(PPMT(Y$115, $A165-Y$129, Y$116, -Y$126), -3)))</f>
        <v>0</v>
      </c>
      <c r="Z165" s="15">
        <f>IF(OR(Z$126=0, $A165-Z$129&gt;Z$116, NOT($A165-Z$129&gt;0)), 0, IF($A165-Z$129=Z$116, Z$126-SUM(Z$131:Z164), ROUND(PPMT(Z$115, $A165-Z$129, Z$116, -Z$126), -3)))</f>
        <v>0</v>
      </c>
      <c r="AA165" s="15">
        <f>IF(OR(AA$126=0, $A165-AA$129&gt;AA$116, NOT($A165-AA$129&gt;0)), 0, IF($A165-AA$129=AA$116, AA$126-SUM(AA$131:AA164), ROUND(PPMT(AA$115, $A165-AA$129, AA$116, -AA$126), -3)))</f>
        <v>0</v>
      </c>
      <c r="AB165" s="15">
        <f>IF(OR(AB$126=0, $A165-AB$129&gt;AB$116, NOT($A165-AB$129&gt;0)), 0, IF($A165-AB$129=AB$116, AB$126-SUM(AB$131:AB164), ROUND(PPMT(AB$115, $A165-AB$129, AB$116, -AB$126), -3)))</f>
        <v>0</v>
      </c>
      <c r="AC165" s="15">
        <f>IF(OR(AC$126=0, $A165-AC$129&gt;AC$116, NOT($A165-AC$129&gt;0)), 0, IF($A165-AC$129=AC$116, AC$126-SUM(AC$131:AC164), ROUND(PPMT(AC$115, $A165-AC$129, AC$116, -AC$126), -3)))</f>
        <v>0</v>
      </c>
      <c r="AD165" s="15">
        <f>IF(OR(AD$126=0, $A165-AD$129&gt;AD$116, NOT($A165-AD$129&gt;0)), 0, IF($A165-AD$129=AD$116, AD$126-SUM(AD$131:AD164), ROUND(PPMT(AD$115, $A165-AD$129, AD$116, -AD$126), -3)))</f>
        <v>0</v>
      </c>
      <c r="AE165" s="15">
        <f>IF(OR(AE$126=0, $A165-AE$129&gt;AE$116, NOT($A165-AE$129&gt;0)), 0, IF($A165-AE$129=AE$116, AE$126-SUM(AE$131:AE164), ROUND(PPMT(AE$115, $A165-AE$129, AE$116, -AE$126), -3)))</f>
        <v>0</v>
      </c>
      <c r="AF165" s="15">
        <f>IF(OR(AF$126=0, $A165-AF$129&gt;AF$116, NOT($A165-AF$129&gt;0)), 0, IF($A165-AF$129=AF$116, AF$126-SUM(AF$131:AF164), ROUND(PPMT(AF$115, $A165-AF$129, AF$116, -AF$126), -3)))</f>
        <v>0</v>
      </c>
      <c r="AG165" s="15">
        <f>IF(OR(AG$126=0, $A165-AG$129&gt;AG$116, NOT($A165-AG$129&gt;0)), 0, IF($A165-AG$129=AG$116, AG$126-SUM(AG$131:AG164), ROUND(PPMT(AG$115, $A165-AG$129, AG$116, -AG$126), -3)))</f>
        <v>0</v>
      </c>
      <c r="AH165" s="15">
        <f>IF(OR(AH$126=0, $A165-AH$129&gt;AH$116, NOT($A165-AH$129&gt;0)), 0, IF($A165-AH$129=AH$116, AH$126-SUM(AH$131:AH164), ROUND(PPMT(AH$115, $A165-AH$129, AH$116, -AH$126), -3)))</f>
        <v>0</v>
      </c>
      <c r="AI165" s="15">
        <f>IF(OR(AI$126=0, $A165-AI$129&gt;AI$116, NOT($A165-AI$129&gt;0)), 0, IF($A165-AI$129=AI$116, AI$126-SUM(AI$131:AI164), ROUND(PPMT(AI$115, $A165-AI$129, AI$116, -AI$126), -3)))</f>
        <v>0</v>
      </c>
      <c r="AJ165" s="15">
        <f>IF(OR(AJ$126=0, $A165-AJ$129&gt;AJ$116, NOT($A165-AJ$129&gt;0)), 0, IF($A165-AJ$129=AJ$116, AJ$126-SUM(AJ$131:AJ164), ROUND(PPMT(AJ$115, $A165-AJ$129, AJ$116, -AJ$126), -3)))</f>
        <v>0</v>
      </c>
      <c r="AK165" s="15">
        <f>IF(OR(AK$126=0, $A165-AK$129&gt;AK$116, NOT($A165-AK$129&gt;0)), 0, IF($A165-AK$129=AK$116, AK$126-SUM(AK$131:AK164), ROUND(PPMT(AK$115, $A165-AK$129, AK$116, -AK$126), -3)))</f>
        <v>0</v>
      </c>
      <c r="AL165" s="15">
        <f>IF(OR(AL$126=0, $A165-AL$129&gt;AL$116, NOT($A165-AL$129&gt;0)), 0, IF($A165-AL$129=AL$116, AL$126-SUM(AL$131:AL164), ROUND(PPMT(AL$115, $A165-AL$129, AL$116, -AL$126), -3)))</f>
        <v>0</v>
      </c>
      <c r="AM165" s="15">
        <f>IF(OR(AM$126=0, $A165-AM$129&gt;AM$116, NOT($A165-AM$129&gt;0)), 0, IF($A165-AM$129=AM$116, AM$126-SUM(AM$131:AM164), ROUND(PPMT(AM$115, $A165-AM$129, AM$116, -AM$126), -3)))</f>
        <v>0</v>
      </c>
    </row>
    <row r="166" spans="1:41" outlineLevel="1">
      <c r="A166" s="40">
        <f t="shared" si="105"/>
        <v>2059</v>
      </c>
      <c r="B166" s="46"/>
      <c r="C166" s="15">
        <f>IF(OR(C$126=0, $A166-C$129&gt;C$116, NOT($A166-C$129&gt;0)), 0, IF($A166-C$129=C$116, C$126-SUM(C$131:C165), ROUND(PPMT(C$115, $A166-C$129, C$116, -C$126), -3)))</f>
        <v>0</v>
      </c>
      <c r="D166" s="15">
        <f>IF(OR(D$126=0, $A166-D$129&gt;D$116, NOT($A166-D$129&gt;0)), 0, IF($A166-D$129=D$116, D$126-SUM(D$131:D165), ROUND(PPMT(D$115, $A166-D$129, D$116, -D$126), -3)))</f>
        <v>0</v>
      </c>
      <c r="E166" s="15">
        <f>IF(OR(E$126=0, $A166-E$129&gt;E$116, NOT($A166-E$129&gt;0)), 0, IF($A166-E$129=E$116, E$126-SUM(E$131:E165), ROUND(PPMT(E$115, $A166-E$129, E$116, -E$126), -3)))</f>
        <v>0</v>
      </c>
      <c r="F166" s="46">
        <f>IF(OR(F$126=0, $A166-F$129&gt;F$116, NOT($A166-F$129&gt;0)), 0, IF($A166-F$129=F$116, F$126-SUM(F$131:F165), ROUND(PPMT(F$115, $A166-F$129, F$116, -F$126), -3)))</f>
        <v>0</v>
      </c>
      <c r="G166" s="15">
        <f>IF(OR(G$126=0, $A166-G$129&gt;G$116, NOT($A166-G$129&gt;0)), 0, IF($A166-G$129=G$116, G$126-SUM(G$131:G165), ROUND(PPMT(G$115, $A166-G$129, G$116, -G$126), -3)))</f>
        <v>0</v>
      </c>
      <c r="H166" s="15">
        <f>IF(OR(H$126=0, $A166-H$129&gt;H$116, NOT($A166-H$129&gt;0)), 0, IF($A166-H$129=H$116, H$126-SUM(H$131:H165), ROUND(PPMT(H$115, $A166-H$129, H$116, -H$126), -3)))</f>
        <v>0</v>
      </c>
      <c r="I166" s="15">
        <f>IF(OR(I$126=0, $A166-I$129&gt;I$116, NOT($A166-I$129&gt;0)), 0, IF($A166-I$129=I$116, I$126-SUM(I$131:I165), ROUND(PPMT(I$115, $A166-I$129, I$116, -I$126), -3)))</f>
        <v>0</v>
      </c>
      <c r="J166" s="15">
        <f>IF(OR(J$126=0, $A166-J$129&gt;J$116, NOT($A166-J$129&gt;0)), 0, IF($A166-J$129=J$116, J$126-SUM(J$131:J165), ROUND(PPMT(J$115, $A166-J$129, J$116, -J$126), -3)))</f>
        <v>0</v>
      </c>
      <c r="K166" s="15">
        <f>IF(OR(K$126=0, $A166-K$129&gt;K$116, NOT($A166-K$129&gt;0)), 0, IF($A166-K$129=K$116, K$126-SUM(K$131:K165), ROUND(PPMT(K$115, $A166-K$129, K$116, -K$126), -3)))</f>
        <v>0</v>
      </c>
      <c r="L166" s="15">
        <f>IF(OR(L$126=0, $A166-L$129&gt;L$116, NOT($A166-L$129&gt;0)), 0, IF($A166-L$129=L$116, L$126-SUM(L$131:L165), ROUND(PPMT(L$115, $A166-L$129, L$116, -L$126), -3)))</f>
        <v>0</v>
      </c>
      <c r="M166" s="15">
        <f>IF(OR(M$126=0, $A166-M$129&gt;M$116, NOT($A166-M$129&gt;0)), 0, IF($A166-M$129=M$116, M$126-SUM(M$131:M165), ROUND(PPMT(M$115, $A166-M$129, M$116, -M$126), -3)))</f>
        <v>0</v>
      </c>
      <c r="N166" s="15">
        <f>IF(OR(N$126=0, $A166-N$129&gt;N$116, NOT($A166-N$129&gt;0)), 0, IF($A166-N$129=N$116, N$126-SUM(N$131:N165), ROUND(PPMT(N$115, $A166-N$129, N$116, -N$126), -3)))</f>
        <v>0</v>
      </c>
      <c r="O166" s="15">
        <f>IF(OR(O$126=0, $A166-O$129&gt;O$116, NOT($A166-O$129&gt;0)), 0, IF($A166-O$129=O$116, O$126-SUM(O$131:O165), ROUND(PPMT(O$115, $A166-O$129, O$116, -O$126), -3)))</f>
        <v>0</v>
      </c>
      <c r="P166" s="15">
        <f>IF(OR(P$126=0, $A166-P$129&gt;P$116, NOT($A166-P$129&gt;0)), 0, IF($A166-P$129=P$116, P$126-SUM(P$131:P165), ROUND(PPMT(P$115, $A166-P$129, P$116, -P$126), -3)))</f>
        <v>0</v>
      </c>
      <c r="Q166" s="15">
        <f>IF(OR(Q$126=0, $A166-Q$129&gt;Q$116, NOT($A166-Q$129&gt;0)), 0, IF($A166-Q$129=Q$116, Q$126-SUM(Q$131:Q165), ROUND(PPMT(Q$115, $A166-Q$129, Q$116, -Q$126), -3)))</f>
        <v>0</v>
      </c>
      <c r="R166" s="15">
        <f>IF(OR(R$126=0, $A166-R$129&gt;R$116, NOT($A166-R$129&gt;0)), 0, IF($A166-R$129=R$116, R$126-SUM(R$131:R165), ROUND(PPMT(R$115, $A166-R$129, R$116, -R$126), -3)))</f>
        <v>0</v>
      </c>
      <c r="S166" s="15">
        <f>IF(OR(S$126=0, $A166-S$129&gt;S$116, NOT($A166-S$129&gt;0)), 0, IF($A166-S$129=S$116, S$126-SUM(S$131:S165), ROUND(PPMT(S$115, $A166-S$129, S$116, -S$126), -3)))</f>
        <v>0</v>
      </c>
      <c r="T166" s="15">
        <f>IF(OR(T$126=0, $A166-T$129&gt;T$116, NOT($A166-T$129&gt;0)), 0, IF($A166-T$129=T$116, T$126-SUM(T$131:T165), ROUND(PPMT(T$115, $A166-T$129, T$116, -T$126), -3)))</f>
        <v>0</v>
      </c>
      <c r="U166" s="15">
        <f>IF(OR(U$126=0, $A166-U$129&gt;U$116, NOT($A166-U$129&gt;0)), 0, IF($A166-U$129=U$116, U$126-SUM(U$131:U165), ROUND(PPMT(U$115, $A166-U$129, U$116, -U$126), -3)))</f>
        <v>0</v>
      </c>
      <c r="V166" s="15">
        <f>IF(OR(V$126=0, $A166-V$129&gt;V$116, NOT($A166-V$129&gt;0)), 0, IF($A166-V$129=V$116, V$126-SUM(V$131:V165), ROUND(PPMT(V$115, $A166-V$129, V$116, -V$126), -3)))</f>
        <v>0</v>
      </c>
      <c r="W166" s="15">
        <f>IF(OR(W$126=0, $A166-W$129&gt;W$116, NOT($A166-W$129&gt;0)), 0, IF($A166-W$129=W$116, W$126-SUM(W$131:W165), ROUND(PPMT(W$115, $A166-W$129, W$116, -W$126), -3)))</f>
        <v>0</v>
      </c>
      <c r="X166" s="15">
        <f>IF(OR(X$126=0, $A166-X$129&gt;X$116, NOT($A166-X$129&gt;0)), 0, IF($A166-X$129=X$116, X$126-SUM(X$131:X165), ROUND(PPMT(X$115, $A166-X$129, X$116, -X$126), -3)))</f>
        <v>0</v>
      </c>
      <c r="Y166" s="15">
        <f>IF(OR(Y$126=0, $A166-Y$129&gt;Y$116, NOT($A166-Y$129&gt;0)), 0, IF($A166-Y$129=Y$116, Y$126-SUM(Y$131:Y165), ROUND(PPMT(Y$115, $A166-Y$129, Y$116, -Y$126), -3)))</f>
        <v>0</v>
      </c>
      <c r="Z166" s="15">
        <f>IF(OR(Z$126=0, $A166-Z$129&gt;Z$116, NOT($A166-Z$129&gt;0)), 0, IF($A166-Z$129=Z$116, Z$126-SUM(Z$131:Z165), ROUND(PPMT(Z$115, $A166-Z$129, Z$116, -Z$126), -3)))</f>
        <v>0</v>
      </c>
      <c r="AA166" s="15">
        <f>IF(OR(AA$126=0, $A166-AA$129&gt;AA$116, NOT($A166-AA$129&gt;0)), 0, IF($A166-AA$129=AA$116, AA$126-SUM(AA$131:AA165), ROUND(PPMT(AA$115, $A166-AA$129, AA$116, -AA$126), -3)))</f>
        <v>0</v>
      </c>
      <c r="AB166" s="15">
        <f>IF(OR(AB$126=0, $A166-AB$129&gt;AB$116, NOT($A166-AB$129&gt;0)), 0, IF($A166-AB$129=AB$116, AB$126-SUM(AB$131:AB165), ROUND(PPMT(AB$115, $A166-AB$129, AB$116, -AB$126), -3)))</f>
        <v>0</v>
      </c>
      <c r="AC166" s="15">
        <f>IF(OR(AC$126=0, $A166-AC$129&gt;AC$116, NOT($A166-AC$129&gt;0)), 0, IF($A166-AC$129=AC$116, AC$126-SUM(AC$131:AC165), ROUND(PPMT(AC$115, $A166-AC$129, AC$116, -AC$126), -3)))</f>
        <v>0</v>
      </c>
      <c r="AD166" s="15">
        <f>IF(OR(AD$126=0, $A166-AD$129&gt;AD$116, NOT($A166-AD$129&gt;0)), 0, IF($A166-AD$129=AD$116, AD$126-SUM(AD$131:AD165), ROUND(PPMT(AD$115, $A166-AD$129, AD$116, -AD$126), -3)))</f>
        <v>0</v>
      </c>
      <c r="AE166" s="15">
        <f>IF(OR(AE$126=0, $A166-AE$129&gt;AE$116, NOT($A166-AE$129&gt;0)), 0, IF($A166-AE$129=AE$116, AE$126-SUM(AE$131:AE165), ROUND(PPMT(AE$115, $A166-AE$129, AE$116, -AE$126), -3)))</f>
        <v>0</v>
      </c>
      <c r="AF166" s="15">
        <f>IF(OR(AF$126=0, $A166-AF$129&gt;AF$116, NOT($A166-AF$129&gt;0)), 0, IF($A166-AF$129=AF$116, AF$126-SUM(AF$131:AF165), ROUND(PPMT(AF$115, $A166-AF$129, AF$116, -AF$126), -3)))</f>
        <v>0</v>
      </c>
      <c r="AG166" s="15">
        <f>IF(OR(AG$126=0, $A166-AG$129&gt;AG$116, NOT($A166-AG$129&gt;0)), 0, IF($A166-AG$129=AG$116, AG$126-SUM(AG$131:AG165), ROUND(PPMT(AG$115, $A166-AG$129, AG$116, -AG$126), -3)))</f>
        <v>0</v>
      </c>
      <c r="AH166" s="15">
        <f>IF(OR(AH$126=0, $A166-AH$129&gt;AH$116, NOT($A166-AH$129&gt;0)), 0, IF($A166-AH$129=AH$116, AH$126-SUM(AH$131:AH165), ROUND(PPMT(AH$115, $A166-AH$129, AH$116, -AH$126), -3)))</f>
        <v>0</v>
      </c>
      <c r="AI166" s="15">
        <f>IF(OR(AI$126=0, $A166-AI$129&gt;AI$116, NOT($A166-AI$129&gt;0)), 0, IF($A166-AI$129=AI$116, AI$126-SUM(AI$131:AI165), ROUND(PPMT(AI$115, $A166-AI$129, AI$116, -AI$126), -3)))</f>
        <v>0</v>
      </c>
      <c r="AJ166" s="15">
        <f>IF(OR(AJ$126=0, $A166-AJ$129&gt;AJ$116, NOT($A166-AJ$129&gt;0)), 0, IF($A166-AJ$129=AJ$116, AJ$126-SUM(AJ$131:AJ165), ROUND(PPMT(AJ$115, $A166-AJ$129, AJ$116, -AJ$126), -3)))</f>
        <v>0</v>
      </c>
      <c r="AK166" s="15">
        <f>IF(OR(AK$126=0, $A166-AK$129&gt;AK$116, NOT($A166-AK$129&gt;0)), 0, IF($A166-AK$129=AK$116, AK$126-SUM(AK$131:AK165), ROUND(PPMT(AK$115, $A166-AK$129, AK$116, -AK$126), -3)))</f>
        <v>0</v>
      </c>
      <c r="AL166" s="15">
        <f>IF(OR(AL$126=0, $A166-AL$129&gt;AL$116, NOT($A166-AL$129&gt;0)), 0, IF($A166-AL$129=AL$116, AL$126-SUM(AL$131:AL165), ROUND(PPMT(AL$115, $A166-AL$129, AL$116, -AL$126), -3)))</f>
        <v>0</v>
      </c>
      <c r="AM166" s="15">
        <f>IF(OR(AM$126=0, $A166-AM$129&gt;AM$116, NOT($A166-AM$129&gt;0)), 0, IF($A166-AM$129=AM$116, AM$126-SUM(AM$131:AM165), ROUND(PPMT(AM$115, $A166-AM$129, AM$116, -AM$126), -3)))</f>
        <v>0</v>
      </c>
    </row>
    <row r="167" spans="1:41" outlineLevel="1">
      <c r="A167" s="40">
        <f t="shared" si="105"/>
        <v>2060</v>
      </c>
      <c r="B167" s="46"/>
      <c r="C167" s="15">
        <f>IF(OR(C$126=0, $A167-C$129&gt;C$116, NOT($A167-C$129&gt;0)), 0, IF($A167-C$129=C$116, C$126-SUM(C$131:C166), ROUND(PPMT(C$115, $A167-C$129, C$116, -C$126), -3)))</f>
        <v>0</v>
      </c>
      <c r="D167" s="15">
        <f>IF(OR(D$126=0, $A167-D$129&gt;D$116, NOT($A167-D$129&gt;0)), 0, IF($A167-D$129=D$116, D$126-SUM(D$131:D166), ROUND(PPMT(D$115, $A167-D$129, D$116, -D$126), -3)))</f>
        <v>0</v>
      </c>
      <c r="E167" s="15">
        <f>IF(OR(E$126=0, $A167-E$129&gt;E$116, NOT($A167-E$129&gt;0)), 0, IF($A167-E$129=E$116, E$126-SUM(E$131:E166), ROUND(PPMT(E$115, $A167-E$129, E$116, -E$126), -3)))</f>
        <v>0</v>
      </c>
      <c r="F167" s="46">
        <f>IF(OR(F$126=0, $A167-F$129&gt;F$116, NOT($A167-F$129&gt;0)), 0, IF($A167-F$129=F$116, F$126-SUM(F$131:F166), ROUND(PPMT(F$115, $A167-F$129, F$116, -F$126), -3)))</f>
        <v>0</v>
      </c>
      <c r="G167" s="15">
        <f>IF(OR(G$126=0, $A167-G$129&gt;G$116, NOT($A167-G$129&gt;0)), 0, IF($A167-G$129=G$116, G$126-SUM(G$131:G166), ROUND(PPMT(G$115, $A167-G$129, G$116, -G$126), -3)))</f>
        <v>0</v>
      </c>
      <c r="H167" s="15">
        <f>IF(OR(H$126=0, $A167-H$129&gt;H$116, NOT($A167-H$129&gt;0)), 0, IF($A167-H$129=H$116, H$126-SUM(H$131:H166), ROUND(PPMT(H$115, $A167-H$129, H$116, -H$126), -3)))</f>
        <v>0</v>
      </c>
      <c r="I167" s="15">
        <f>IF(OR(I$126=0, $A167-I$129&gt;I$116, NOT($A167-I$129&gt;0)), 0, IF($A167-I$129=I$116, I$126-SUM(I$131:I166), ROUND(PPMT(I$115, $A167-I$129, I$116, -I$126), -3)))</f>
        <v>0</v>
      </c>
      <c r="J167" s="15">
        <f>IF(OR(J$126=0, $A167-J$129&gt;J$116, NOT($A167-J$129&gt;0)), 0, IF($A167-J$129=J$116, J$126-SUM(J$131:J166), ROUND(PPMT(J$115, $A167-J$129, J$116, -J$126), -3)))</f>
        <v>0</v>
      </c>
      <c r="K167" s="15">
        <f>IF(OR(K$126=0, $A167-K$129&gt;K$116, NOT($A167-K$129&gt;0)), 0, IF($A167-K$129=K$116, K$126-SUM(K$131:K166), ROUND(PPMT(K$115, $A167-K$129, K$116, -K$126), -3)))</f>
        <v>0</v>
      </c>
      <c r="L167" s="15">
        <f>IF(OR(L$126=0, $A167-L$129&gt;L$116, NOT($A167-L$129&gt;0)), 0, IF($A167-L$129=L$116, L$126-SUM(L$131:L166), ROUND(PPMT(L$115, $A167-L$129, L$116, -L$126), -3)))</f>
        <v>0</v>
      </c>
      <c r="M167" s="15">
        <f>IF(OR(M$126=0, $A167-M$129&gt;M$116, NOT($A167-M$129&gt;0)), 0, IF($A167-M$129=M$116, M$126-SUM(M$131:M166), ROUND(PPMT(M$115, $A167-M$129, M$116, -M$126), -3)))</f>
        <v>0</v>
      </c>
      <c r="N167" s="15">
        <f>IF(OR(N$126=0, $A167-N$129&gt;N$116, NOT($A167-N$129&gt;0)), 0, IF($A167-N$129=N$116, N$126-SUM(N$131:N166), ROUND(PPMT(N$115, $A167-N$129, N$116, -N$126), -3)))</f>
        <v>0</v>
      </c>
      <c r="O167" s="15">
        <f>IF(OR(O$126=0, $A167-O$129&gt;O$116, NOT($A167-O$129&gt;0)), 0, IF($A167-O$129=O$116, O$126-SUM(O$131:O166), ROUND(PPMT(O$115, $A167-O$129, O$116, -O$126), -3)))</f>
        <v>0</v>
      </c>
      <c r="P167" s="15">
        <f>IF(OR(P$126=0, $A167-P$129&gt;P$116, NOT($A167-P$129&gt;0)), 0, IF($A167-P$129=P$116, P$126-SUM(P$131:P166), ROUND(PPMT(P$115, $A167-P$129, P$116, -P$126), -3)))</f>
        <v>0</v>
      </c>
      <c r="Q167" s="15">
        <f>IF(OR(Q$126=0, $A167-Q$129&gt;Q$116, NOT($A167-Q$129&gt;0)), 0, IF($A167-Q$129=Q$116, Q$126-SUM(Q$131:Q166), ROUND(PPMT(Q$115, $A167-Q$129, Q$116, -Q$126), -3)))</f>
        <v>0</v>
      </c>
      <c r="R167" s="15">
        <f>IF(OR(R$126=0, $A167-R$129&gt;R$116, NOT($A167-R$129&gt;0)), 0, IF($A167-R$129=R$116, R$126-SUM(R$131:R166), ROUND(PPMT(R$115, $A167-R$129, R$116, -R$126), -3)))</f>
        <v>0</v>
      </c>
      <c r="S167" s="15">
        <f>IF(OR(S$126=0, $A167-S$129&gt;S$116, NOT($A167-S$129&gt;0)), 0, IF($A167-S$129=S$116, S$126-SUM(S$131:S166), ROUND(PPMT(S$115, $A167-S$129, S$116, -S$126), -3)))</f>
        <v>0</v>
      </c>
      <c r="T167" s="15">
        <f>IF(OR(T$126=0, $A167-T$129&gt;T$116, NOT($A167-T$129&gt;0)), 0, IF($A167-T$129=T$116, T$126-SUM(T$131:T166), ROUND(PPMT(T$115, $A167-T$129, T$116, -T$126), -3)))</f>
        <v>0</v>
      </c>
      <c r="U167" s="15">
        <f>IF(OR(U$126=0, $A167-U$129&gt;U$116, NOT($A167-U$129&gt;0)), 0, IF($A167-U$129=U$116, U$126-SUM(U$131:U166), ROUND(PPMT(U$115, $A167-U$129, U$116, -U$126), -3)))</f>
        <v>0</v>
      </c>
      <c r="V167" s="15">
        <f>IF(OR(V$126=0, $A167-V$129&gt;V$116, NOT($A167-V$129&gt;0)), 0, IF($A167-V$129=V$116, V$126-SUM(V$131:V166), ROUND(PPMT(V$115, $A167-V$129, V$116, -V$126), -3)))</f>
        <v>0</v>
      </c>
      <c r="W167" s="15">
        <f>IF(OR(W$126=0, $A167-W$129&gt;W$116, NOT($A167-W$129&gt;0)), 0, IF($A167-W$129=W$116, W$126-SUM(W$131:W166), ROUND(PPMT(W$115, $A167-W$129, W$116, -W$126), -3)))</f>
        <v>0</v>
      </c>
      <c r="X167" s="15">
        <f>IF(OR(X$126=0, $A167-X$129&gt;X$116, NOT($A167-X$129&gt;0)), 0, IF($A167-X$129=X$116, X$126-SUM(X$131:X166), ROUND(PPMT(X$115, $A167-X$129, X$116, -X$126), -3)))</f>
        <v>0</v>
      </c>
      <c r="Y167" s="15">
        <f>IF(OR(Y$126=0, $A167-Y$129&gt;Y$116, NOT($A167-Y$129&gt;0)), 0, IF($A167-Y$129=Y$116, Y$126-SUM(Y$131:Y166), ROUND(PPMT(Y$115, $A167-Y$129, Y$116, -Y$126), -3)))</f>
        <v>0</v>
      </c>
      <c r="Z167" s="15">
        <f>IF(OR(Z$126=0, $A167-Z$129&gt;Z$116, NOT($A167-Z$129&gt;0)), 0, IF($A167-Z$129=Z$116, Z$126-SUM(Z$131:Z166), ROUND(PPMT(Z$115, $A167-Z$129, Z$116, -Z$126), -3)))</f>
        <v>0</v>
      </c>
      <c r="AA167" s="15">
        <f>IF(OR(AA$126=0, $A167-AA$129&gt;AA$116, NOT($A167-AA$129&gt;0)), 0, IF($A167-AA$129=AA$116, AA$126-SUM(AA$131:AA166), ROUND(PPMT(AA$115, $A167-AA$129, AA$116, -AA$126), -3)))</f>
        <v>0</v>
      </c>
      <c r="AB167" s="15">
        <f>IF(OR(AB$126=0, $A167-AB$129&gt;AB$116, NOT($A167-AB$129&gt;0)), 0, IF($A167-AB$129=AB$116, AB$126-SUM(AB$131:AB166), ROUND(PPMT(AB$115, $A167-AB$129, AB$116, -AB$126), -3)))</f>
        <v>0</v>
      </c>
      <c r="AC167" s="15">
        <f>IF(OR(AC$126=0, $A167-AC$129&gt;AC$116, NOT($A167-AC$129&gt;0)), 0, IF($A167-AC$129=AC$116, AC$126-SUM(AC$131:AC166), ROUND(PPMT(AC$115, $A167-AC$129, AC$116, -AC$126), -3)))</f>
        <v>0</v>
      </c>
      <c r="AD167" s="15">
        <f>IF(OR(AD$126=0, $A167-AD$129&gt;AD$116, NOT($A167-AD$129&gt;0)), 0, IF($A167-AD$129=AD$116, AD$126-SUM(AD$131:AD166), ROUND(PPMT(AD$115, $A167-AD$129, AD$116, -AD$126), -3)))</f>
        <v>0</v>
      </c>
      <c r="AE167" s="15">
        <f>IF(OR(AE$126=0, $A167-AE$129&gt;AE$116, NOT($A167-AE$129&gt;0)), 0, IF($A167-AE$129=AE$116, AE$126-SUM(AE$131:AE166), ROUND(PPMT(AE$115, $A167-AE$129, AE$116, -AE$126), -3)))</f>
        <v>0</v>
      </c>
      <c r="AF167" s="15">
        <f>IF(OR(AF$126=0, $A167-AF$129&gt;AF$116, NOT($A167-AF$129&gt;0)), 0, IF($A167-AF$129=AF$116, AF$126-SUM(AF$131:AF166), ROUND(PPMT(AF$115, $A167-AF$129, AF$116, -AF$126), -3)))</f>
        <v>0</v>
      </c>
      <c r="AG167" s="15">
        <f>IF(OR(AG$126=0, $A167-AG$129&gt;AG$116, NOT($A167-AG$129&gt;0)), 0, IF($A167-AG$129=AG$116, AG$126-SUM(AG$131:AG166), ROUND(PPMT(AG$115, $A167-AG$129, AG$116, -AG$126), -3)))</f>
        <v>0</v>
      </c>
      <c r="AH167" s="15">
        <f>IF(OR(AH$126=0, $A167-AH$129&gt;AH$116, NOT($A167-AH$129&gt;0)), 0, IF($A167-AH$129=AH$116, AH$126-SUM(AH$131:AH166), ROUND(PPMT(AH$115, $A167-AH$129, AH$116, -AH$126), -3)))</f>
        <v>0</v>
      </c>
      <c r="AI167" s="15">
        <f>IF(OR(AI$126=0, $A167-AI$129&gt;AI$116, NOT($A167-AI$129&gt;0)), 0, IF($A167-AI$129=AI$116, AI$126-SUM(AI$131:AI166), ROUND(PPMT(AI$115, $A167-AI$129, AI$116, -AI$126), -3)))</f>
        <v>0</v>
      </c>
      <c r="AJ167" s="15">
        <f>IF(OR(AJ$126=0, $A167-AJ$129&gt;AJ$116, NOT($A167-AJ$129&gt;0)), 0, IF($A167-AJ$129=AJ$116, AJ$126-SUM(AJ$131:AJ166), ROUND(PPMT(AJ$115, $A167-AJ$129, AJ$116, -AJ$126), -3)))</f>
        <v>0</v>
      </c>
      <c r="AK167" s="15">
        <f>IF(OR(AK$126=0, $A167-AK$129&gt;AK$116, NOT($A167-AK$129&gt;0)), 0, IF($A167-AK$129=AK$116, AK$126-SUM(AK$131:AK166), ROUND(PPMT(AK$115, $A167-AK$129, AK$116, -AK$126), -3)))</f>
        <v>0</v>
      </c>
      <c r="AL167" s="15">
        <f>IF(OR(AL$126=0, $A167-AL$129&gt;AL$116, NOT($A167-AL$129&gt;0)), 0, IF($A167-AL$129=AL$116, AL$126-SUM(AL$131:AL166), ROUND(PPMT(AL$115, $A167-AL$129, AL$116, -AL$126), -3)))</f>
        <v>0</v>
      </c>
      <c r="AM167" s="15">
        <f>IF(OR(AM$126=0, $A167-AM$129&gt;AM$116, NOT($A167-AM$129&gt;0)), 0, IF($A167-AM$129=AM$116, AM$126-SUM(AM$131:AM166), ROUND(PPMT(AM$115, $A167-AM$129, AM$116, -AM$126), -3)))</f>
        <v>0</v>
      </c>
    </row>
    <row r="168" spans="1:41" s="107" customFormat="1" ht="7" outlineLevel="1">
      <c r="A168" s="106"/>
      <c r="B168" s="109"/>
      <c r="C168" s="108"/>
      <c r="D168" s="108"/>
      <c r="E168" s="108"/>
      <c r="F168" s="109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</row>
    <row r="169" spans="1:41" ht="16" outlineLevel="1">
      <c r="A169" s="49" t="s">
        <v>7</v>
      </c>
      <c r="B169" s="50"/>
      <c r="C169" s="50">
        <f t="shared" ref="C169:AM169" si="106">SUM(C131:C168)</f>
        <v>80000000</v>
      </c>
      <c r="D169" s="50">
        <f t="shared" si="106"/>
        <v>80000000</v>
      </c>
      <c r="E169" s="50">
        <f t="shared" si="106"/>
        <v>80000000</v>
      </c>
      <c r="F169" s="50">
        <f t="shared" si="106"/>
        <v>54710000</v>
      </c>
      <c r="G169" s="50">
        <f t="shared" si="106"/>
        <v>0</v>
      </c>
      <c r="H169" s="50">
        <f t="shared" si="106"/>
        <v>0</v>
      </c>
      <c r="I169" s="50">
        <f t="shared" si="106"/>
        <v>65645000</v>
      </c>
      <c r="J169" s="50">
        <f t="shared" si="106"/>
        <v>0</v>
      </c>
      <c r="K169" s="50">
        <f t="shared" si="106"/>
        <v>0</v>
      </c>
      <c r="L169" s="50">
        <f t="shared" si="106"/>
        <v>0</v>
      </c>
      <c r="M169" s="50">
        <f t="shared" si="106"/>
        <v>22335000</v>
      </c>
      <c r="N169" s="50">
        <f t="shared" si="106"/>
        <v>0</v>
      </c>
      <c r="O169" s="50">
        <f t="shared" si="106"/>
        <v>50120000</v>
      </c>
      <c r="P169" s="50">
        <f t="shared" si="106"/>
        <v>0</v>
      </c>
      <c r="Q169" s="50">
        <f t="shared" si="106"/>
        <v>52880000</v>
      </c>
      <c r="R169" s="50">
        <f t="shared" si="106"/>
        <v>49280000</v>
      </c>
      <c r="S169" s="50">
        <f t="shared" si="106"/>
        <v>48120000</v>
      </c>
      <c r="T169" s="50">
        <f t="shared" si="106"/>
        <v>45435000</v>
      </c>
      <c r="U169" s="50">
        <f t="shared" si="106"/>
        <v>0</v>
      </c>
      <c r="V169" s="50">
        <f t="shared" si="106"/>
        <v>47185000</v>
      </c>
      <c r="W169" s="50">
        <f t="shared" si="106"/>
        <v>46335000</v>
      </c>
      <c r="X169" s="50">
        <f t="shared" si="106"/>
        <v>40980000</v>
      </c>
      <c r="Y169" s="50">
        <f t="shared" si="106"/>
        <v>0</v>
      </c>
      <c r="Z169" s="50">
        <f t="shared" si="106"/>
        <v>0</v>
      </c>
      <c r="AA169" s="50">
        <f t="shared" si="106"/>
        <v>0</v>
      </c>
      <c r="AB169" s="50">
        <f t="shared" si="106"/>
        <v>38845000</v>
      </c>
      <c r="AC169" s="50">
        <f t="shared" si="106"/>
        <v>30235000</v>
      </c>
      <c r="AD169" s="50">
        <f t="shared" si="106"/>
        <v>0</v>
      </c>
      <c r="AE169" s="50">
        <f t="shared" si="106"/>
        <v>0</v>
      </c>
      <c r="AF169" s="50">
        <f t="shared" si="106"/>
        <v>0</v>
      </c>
      <c r="AG169" s="50">
        <f t="shared" si="106"/>
        <v>0</v>
      </c>
      <c r="AH169" s="50">
        <f t="shared" si="106"/>
        <v>0</v>
      </c>
      <c r="AI169" s="50">
        <f t="shared" si="106"/>
        <v>0</v>
      </c>
      <c r="AJ169" s="50">
        <f t="shared" si="106"/>
        <v>0</v>
      </c>
      <c r="AK169" s="50">
        <f t="shared" si="106"/>
        <v>0</v>
      </c>
      <c r="AL169" s="50">
        <f t="shared" si="106"/>
        <v>0</v>
      </c>
      <c r="AM169" s="50">
        <f t="shared" si="106"/>
        <v>0</v>
      </c>
    </row>
    <row r="170" spans="1:41">
      <c r="A170" s="42"/>
      <c r="B170" s="73"/>
      <c r="C170" s="73">
        <f t="shared" ref="C170:AI170" si="107">C126-C169</f>
        <v>0</v>
      </c>
      <c r="D170" s="73">
        <f t="shared" si="107"/>
        <v>0</v>
      </c>
      <c r="E170" s="73">
        <f t="shared" si="107"/>
        <v>0</v>
      </c>
      <c r="F170" s="73">
        <f t="shared" si="107"/>
        <v>0</v>
      </c>
      <c r="G170" s="73">
        <f t="shared" si="107"/>
        <v>0</v>
      </c>
      <c r="H170" s="73">
        <f t="shared" si="107"/>
        <v>0</v>
      </c>
      <c r="I170" s="73">
        <f t="shared" si="107"/>
        <v>0</v>
      </c>
      <c r="J170" s="73">
        <f t="shared" si="107"/>
        <v>0</v>
      </c>
      <c r="K170" s="73">
        <f t="shared" si="107"/>
        <v>0</v>
      </c>
      <c r="L170" s="73">
        <f t="shared" si="107"/>
        <v>0</v>
      </c>
      <c r="M170" s="73">
        <f t="shared" si="107"/>
        <v>0</v>
      </c>
      <c r="N170" s="73">
        <f t="shared" si="107"/>
        <v>0</v>
      </c>
      <c r="O170" s="73">
        <f t="shared" si="107"/>
        <v>0</v>
      </c>
      <c r="P170" s="73">
        <f t="shared" si="107"/>
        <v>0</v>
      </c>
      <c r="Q170" s="73">
        <f t="shared" si="107"/>
        <v>0</v>
      </c>
      <c r="R170" s="73">
        <f t="shared" si="107"/>
        <v>0</v>
      </c>
      <c r="S170" s="73">
        <f t="shared" si="107"/>
        <v>0</v>
      </c>
      <c r="T170" s="73">
        <f t="shared" si="107"/>
        <v>0</v>
      </c>
      <c r="U170" s="73">
        <f t="shared" si="107"/>
        <v>0</v>
      </c>
      <c r="V170" s="73">
        <f t="shared" si="107"/>
        <v>0</v>
      </c>
      <c r="W170" s="73">
        <f t="shared" si="107"/>
        <v>0</v>
      </c>
      <c r="X170" s="73">
        <f t="shared" si="107"/>
        <v>0</v>
      </c>
      <c r="Y170" s="73">
        <f t="shared" si="107"/>
        <v>0</v>
      </c>
      <c r="Z170" s="73">
        <f t="shared" si="107"/>
        <v>0</v>
      </c>
      <c r="AA170" s="73">
        <f t="shared" si="107"/>
        <v>0</v>
      </c>
      <c r="AB170" s="73">
        <f t="shared" si="107"/>
        <v>0</v>
      </c>
      <c r="AC170" s="73">
        <f t="shared" si="107"/>
        <v>0</v>
      </c>
      <c r="AD170" s="73">
        <f t="shared" si="107"/>
        <v>0</v>
      </c>
      <c r="AE170" s="73">
        <f t="shared" si="107"/>
        <v>0</v>
      </c>
      <c r="AF170" s="73">
        <f t="shared" si="107"/>
        <v>0</v>
      </c>
      <c r="AG170" s="73">
        <f t="shared" si="107"/>
        <v>0</v>
      </c>
      <c r="AH170" s="73">
        <f t="shared" si="107"/>
        <v>0</v>
      </c>
      <c r="AI170" s="73">
        <f t="shared" si="107"/>
        <v>0</v>
      </c>
      <c r="AJ170" s="73"/>
      <c r="AK170" s="73"/>
      <c r="AL170" s="73"/>
      <c r="AM170" s="73"/>
    </row>
    <row r="171" spans="1:41">
      <c r="A171" s="42"/>
      <c r="B171" s="12"/>
      <c r="C171" s="45">
        <f t="shared" ref="C171:AM171" si="108">C8</f>
        <v>2024</v>
      </c>
      <c r="D171" s="45">
        <f t="shared" si="108"/>
        <v>2025</v>
      </c>
      <c r="E171" s="45">
        <f t="shared" si="108"/>
        <v>2026</v>
      </c>
      <c r="F171" s="45">
        <f t="shared" si="108"/>
        <v>2027</v>
      </c>
      <c r="G171" s="45">
        <f t="shared" si="108"/>
        <v>2028</v>
      </c>
      <c r="H171" s="45">
        <f t="shared" si="108"/>
        <v>2029</v>
      </c>
      <c r="I171" s="45">
        <f t="shared" si="108"/>
        <v>2030</v>
      </c>
      <c r="J171" s="45">
        <f t="shared" si="108"/>
        <v>2031</v>
      </c>
      <c r="K171" s="45">
        <f t="shared" si="108"/>
        <v>2032</v>
      </c>
      <c r="L171" s="45">
        <f t="shared" si="108"/>
        <v>2033</v>
      </c>
      <c r="M171" s="45">
        <f t="shared" si="108"/>
        <v>2034</v>
      </c>
      <c r="N171" s="45">
        <f t="shared" si="108"/>
        <v>2035</v>
      </c>
      <c r="O171" s="45">
        <f t="shared" si="108"/>
        <v>2036</v>
      </c>
      <c r="P171" s="45">
        <f t="shared" si="108"/>
        <v>2037</v>
      </c>
      <c r="Q171" s="45">
        <f t="shared" si="108"/>
        <v>2038</v>
      </c>
      <c r="R171" s="45">
        <f t="shared" si="108"/>
        <v>2039</v>
      </c>
      <c r="S171" s="45">
        <f t="shared" si="108"/>
        <v>2040</v>
      </c>
      <c r="T171" s="45">
        <f t="shared" si="108"/>
        <v>2041</v>
      </c>
      <c r="U171" s="45">
        <f t="shared" si="108"/>
        <v>2042</v>
      </c>
      <c r="V171" s="45">
        <f t="shared" si="108"/>
        <v>2043</v>
      </c>
      <c r="W171" s="45">
        <f t="shared" si="108"/>
        <v>2044</v>
      </c>
      <c r="X171" s="45">
        <f t="shared" si="108"/>
        <v>2045</v>
      </c>
      <c r="Y171" s="45">
        <f t="shared" si="108"/>
        <v>2046</v>
      </c>
      <c r="Z171" s="45">
        <f t="shared" si="108"/>
        <v>2047</v>
      </c>
      <c r="AA171" s="45">
        <f t="shared" si="108"/>
        <v>2048</v>
      </c>
      <c r="AB171" s="45">
        <f t="shared" si="108"/>
        <v>2049</v>
      </c>
      <c r="AC171" s="45">
        <f t="shared" si="108"/>
        <v>2050</v>
      </c>
      <c r="AD171" s="45">
        <f t="shared" si="108"/>
        <v>2051</v>
      </c>
      <c r="AE171" s="45">
        <f t="shared" si="108"/>
        <v>2052</v>
      </c>
      <c r="AF171" s="45">
        <f t="shared" si="108"/>
        <v>2053</v>
      </c>
      <c r="AG171" s="45">
        <f t="shared" si="108"/>
        <v>2054</v>
      </c>
      <c r="AH171" s="45">
        <f t="shared" si="108"/>
        <v>2055</v>
      </c>
      <c r="AI171" s="45">
        <f t="shared" si="108"/>
        <v>2056</v>
      </c>
      <c r="AJ171" s="45">
        <f t="shared" si="108"/>
        <v>2057</v>
      </c>
      <c r="AK171" s="45">
        <f t="shared" si="108"/>
        <v>2058</v>
      </c>
      <c r="AL171" s="45">
        <f t="shared" si="108"/>
        <v>2059</v>
      </c>
      <c r="AM171" s="45">
        <f t="shared" si="108"/>
        <v>2060</v>
      </c>
      <c r="AO171" s="10">
        <v>1</v>
      </c>
    </row>
    <row r="172" spans="1:41" s="58" customFormat="1">
      <c r="A172" s="40" t="s">
        <v>39</v>
      </c>
      <c r="B172" s="57"/>
      <c r="C172" s="57">
        <f t="shared" ref="C172:AM172" si="109">C60-C109-C126</f>
        <v>114177650</v>
      </c>
      <c r="D172" s="57">
        <f t="shared" si="109"/>
        <v>132368550</v>
      </c>
      <c r="E172" s="57">
        <f t="shared" si="109"/>
        <v>143306650</v>
      </c>
      <c r="F172" s="57">
        <f t="shared" si="109"/>
        <v>164234450</v>
      </c>
      <c r="G172" s="57">
        <f t="shared" si="109"/>
        <v>51593550</v>
      </c>
      <c r="H172" s="57">
        <f t="shared" si="109"/>
        <v>53226250</v>
      </c>
      <c r="I172" s="57">
        <f t="shared" si="109"/>
        <v>49998250</v>
      </c>
      <c r="J172" s="57">
        <f t="shared" si="109"/>
        <v>112781250</v>
      </c>
      <c r="K172" s="57">
        <f t="shared" si="109"/>
        <v>60720250</v>
      </c>
      <c r="L172" s="57">
        <f t="shared" si="109"/>
        <v>59038495.479685172</v>
      </c>
      <c r="M172" s="57">
        <f t="shared" si="109"/>
        <v>50001004.520314828</v>
      </c>
      <c r="N172" s="57">
        <f t="shared" si="109"/>
        <v>55989250</v>
      </c>
      <c r="O172" s="57">
        <f t="shared" si="109"/>
        <v>56064250</v>
      </c>
      <c r="P172" s="57">
        <f t="shared" si="109"/>
        <v>51437250</v>
      </c>
      <c r="Q172" s="57">
        <f t="shared" si="109"/>
        <v>50001250</v>
      </c>
      <c r="R172" s="57">
        <f t="shared" si="109"/>
        <v>49999250</v>
      </c>
      <c r="S172" s="57">
        <f t="shared" si="109"/>
        <v>50001250</v>
      </c>
      <c r="T172" s="57">
        <f t="shared" si="109"/>
        <v>51831250</v>
      </c>
      <c r="U172" s="57">
        <f t="shared" si="109"/>
        <v>51843250</v>
      </c>
      <c r="V172" s="57">
        <f t="shared" si="109"/>
        <v>50002250</v>
      </c>
      <c r="W172" s="57">
        <f t="shared" si="109"/>
        <v>49998250</v>
      </c>
      <c r="X172" s="57">
        <f t="shared" si="109"/>
        <v>52664250</v>
      </c>
      <c r="Y172" s="57">
        <f t="shared" si="109"/>
        <v>92699250</v>
      </c>
      <c r="Z172" s="57">
        <f t="shared" si="109"/>
        <v>128098250</v>
      </c>
      <c r="AA172" s="57">
        <f t="shared" si="109"/>
        <v>58114250</v>
      </c>
      <c r="AB172" s="57">
        <f t="shared" si="109"/>
        <v>50000250</v>
      </c>
      <c r="AC172" s="57">
        <f t="shared" si="109"/>
        <v>56119250</v>
      </c>
      <c r="AD172" s="57">
        <f t="shared" si="109"/>
        <v>92142250</v>
      </c>
      <c r="AE172" s="57">
        <f t="shared" si="109"/>
        <v>57711250</v>
      </c>
      <c r="AF172" s="57">
        <f t="shared" si="109"/>
        <v>96392250</v>
      </c>
      <c r="AG172" s="57">
        <f t="shared" si="109"/>
        <v>137056250</v>
      </c>
      <c r="AH172" s="57">
        <f t="shared" si="109"/>
        <v>106364250</v>
      </c>
      <c r="AI172" s="57">
        <f t="shared" si="109"/>
        <v>149335250</v>
      </c>
      <c r="AJ172" s="57">
        <f t="shared" si="109"/>
        <v>46728250</v>
      </c>
      <c r="AK172" s="57">
        <f t="shared" si="109"/>
        <v>46728250</v>
      </c>
      <c r="AL172" s="57">
        <f t="shared" si="109"/>
        <v>46728250</v>
      </c>
      <c r="AM172" s="57">
        <f t="shared" si="109"/>
        <v>46728250</v>
      </c>
      <c r="AO172" s="10">
        <f>AO171+1</f>
        <v>2</v>
      </c>
    </row>
    <row r="173" spans="1:41">
      <c r="AO173" s="10"/>
    </row>
    <row r="174" spans="1:41">
      <c r="B174" s="73"/>
      <c r="C174" s="73">
        <f t="shared" ref="C174:AM174" si="110">(C53-C49)-C172</f>
        <v>0</v>
      </c>
      <c r="D174" s="73">
        <f t="shared" si="110"/>
        <v>0</v>
      </c>
      <c r="E174" s="73">
        <f t="shared" si="110"/>
        <v>0</v>
      </c>
      <c r="F174" s="73">
        <f t="shared" si="110"/>
        <v>0</v>
      </c>
      <c r="G174" s="73">
        <f t="shared" si="110"/>
        <v>0</v>
      </c>
      <c r="H174" s="73">
        <f t="shared" si="110"/>
        <v>0</v>
      </c>
      <c r="I174" s="73">
        <f t="shared" si="110"/>
        <v>0</v>
      </c>
      <c r="J174" s="73">
        <f t="shared" si="110"/>
        <v>0</v>
      </c>
      <c r="K174" s="73">
        <f t="shared" si="110"/>
        <v>0</v>
      </c>
      <c r="L174" s="73">
        <f t="shared" si="110"/>
        <v>0</v>
      </c>
      <c r="M174" s="73">
        <f t="shared" si="110"/>
        <v>0</v>
      </c>
      <c r="N174" s="73">
        <f t="shared" si="110"/>
        <v>0</v>
      </c>
      <c r="O174" s="73">
        <f t="shared" si="110"/>
        <v>0</v>
      </c>
      <c r="P174" s="73">
        <f t="shared" si="110"/>
        <v>0</v>
      </c>
      <c r="Q174" s="73">
        <f t="shared" si="110"/>
        <v>0</v>
      </c>
      <c r="R174" s="73">
        <f t="shared" si="110"/>
        <v>0</v>
      </c>
      <c r="S174" s="73">
        <f t="shared" si="110"/>
        <v>0</v>
      </c>
      <c r="T174" s="73">
        <f t="shared" si="110"/>
        <v>0</v>
      </c>
      <c r="U174" s="73">
        <f t="shared" si="110"/>
        <v>0</v>
      </c>
      <c r="V174" s="73">
        <f t="shared" si="110"/>
        <v>0</v>
      </c>
      <c r="W174" s="73">
        <f t="shared" si="110"/>
        <v>0</v>
      </c>
      <c r="X174" s="73">
        <f t="shared" si="110"/>
        <v>0</v>
      </c>
      <c r="Y174" s="73">
        <f t="shared" si="110"/>
        <v>0</v>
      </c>
      <c r="Z174" s="73">
        <f t="shared" si="110"/>
        <v>0</v>
      </c>
      <c r="AA174" s="73">
        <f t="shared" si="110"/>
        <v>0</v>
      </c>
      <c r="AB174" s="73">
        <f t="shared" si="110"/>
        <v>0</v>
      </c>
      <c r="AC174" s="73">
        <f t="shared" si="110"/>
        <v>0</v>
      </c>
      <c r="AD174" s="73">
        <f t="shared" si="110"/>
        <v>0</v>
      </c>
      <c r="AE174" s="73">
        <f t="shared" si="110"/>
        <v>0</v>
      </c>
      <c r="AF174" s="73">
        <f t="shared" si="110"/>
        <v>0</v>
      </c>
      <c r="AG174" s="73">
        <f t="shared" si="110"/>
        <v>0</v>
      </c>
      <c r="AH174" s="73">
        <f t="shared" si="110"/>
        <v>0</v>
      </c>
      <c r="AI174" s="73">
        <f t="shared" si="110"/>
        <v>0</v>
      </c>
      <c r="AJ174" s="73">
        <f t="shared" si="110"/>
        <v>0</v>
      </c>
      <c r="AK174" s="73">
        <f t="shared" si="110"/>
        <v>0</v>
      </c>
      <c r="AL174" s="73">
        <f t="shared" si="110"/>
        <v>0</v>
      </c>
      <c r="AM174" s="73">
        <f t="shared" si="110"/>
        <v>0</v>
      </c>
    </row>
    <row r="175" spans="1:41">
      <c r="B175" s="29"/>
      <c r="C175" s="29"/>
      <c r="D175" s="29"/>
      <c r="E175" s="29"/>
      <c r="F175" s="29"/>
      <c r="AK175" s="29"/>
    </row>
    <row r="176" spans="1:41">
      <c r="C176" s="29"/>
    </row>
    <row r="177" spans="2:2">
      <c r="B177" s="29"/>
    </row>
    <row r="178" spans="2:2">
      <c r="B178" s="29"/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61" sqref="E61"/>
    </sheetView>
  </sheetViews>
  <sheetFormatPr baseColWidth="10" defaultRowHeight="13" outlineLevelCol="1"/>
  <cols>
    <col min="1" max="1" width="6" customWidth="1"/>
    <col min="2" max="2" width="2.6640625" customWidth="1"/>
    <col min="3" max="3" width="13.1640625" bestFit="1" customWidth="1"/>
    <col min="4" max="5" width="13.1640625" customWidth="1" outlineLevel="1"/>
    <col min="6" max="6" width="12.1640625" customWidth="1" outlineLevel="1"/>
    <col min="7" max="7" width="13.1640625" bestFit="1" customWidth="1"/>
    <col min="8" max="8" width="11.1640625" bestFit="1" customWidth="1"/>
    <col min="9" max="10" width="14.6640625" bestFit="1" customWidth="1"/>
    <col min="11" max="11" width="3" customWidth="1"/>
    <col min="12" max="13" width="13.1640625" bestFit="1" customWidth="1"/>
    <col min="14" max="14" width="12.1640625" bestFit="1" customWidth="1"/>
    <col min="15" max="16" width="14.6640625" bestFit="1" customWidth="1"/>
    <col min="17" max="17" width="3.1640625" bestFit="1" customWidth="1"/>
    <col min="18" max="18" width="13.1640625" bestFit="1" customWidth="1"/>
  </cols>
  <sheetData>
    <row r="1" spans="1:20">
      <c r="A1" s="10">
        <f>1</f>
        <v>1</v>
      </c>
      <c r="B1" s="10">
        <f t="shared" ref="B1:C1" si="0">A1+1</f>
        <v>2</v>
      </c>
      <c r="C1" s="10">
        <f t="shared" si="0"/>
        <v>3</v>
      </c>
      <c r="D1" s="10">
        <f t="shared" ref="D1" si="1">C1+1</f>
        <v>4</v>
      </c>
      <c r="E1" s="10">
        <f t="shared" ref="E1:R1" si="2">D1+1</f>
        <v>5</v>
      </c>
      <c r="F1" s="10">
        <f t="shared" si="2"/>
        <v>6</v>
      </c>
      <c r="G1" s="10">
        <f t="shared" si="2"/>
        <v>7</v>
      </c>
      <c r="H1" s="10">
        <f t="shared" si="2"/>
        <v>8</v>
      </c>
      <c r="I1" s="10">
        <f t="shared" si="2"/>
        <v>9</v>
      </c>
      <c r="J1" s="10">
        <f t="shared" si="2"/>
        <v>10</v>
      </c>
      <c r="K1" s="10">
        <f t="shared" si="2"/>
        <v>11</v>
      </c>
      <c r="L1" s="10">
        <f t="shared" si="2"/>
        <v>12</v>
      </c>
      <c r="M1" s="10">
        <f t="shared" si="2"/>
        <v>13</v>
      </c>
      <c r="N1" s="10">
        <f>L1+1</f>
        <v>13</v>
      </c>
      <c r="O1" s="10">
        <f t="shared" si="2"/>
        <v>14</v>
      </c>
      <c r="P1" s="10">
        <f t="shared" si="2"/>
        <v>15</v>
      </c>
      <c r="Q1" s="10">
        <f t="shared" si="2"/>
        <v>16</v>
      </c>
      <c r="R1" s="10">
        <f t="shared" si="2"/>
        <v>17</v>
      </c>
    </row>
    <row r="2" spans="1:20" ht="14">
      <c r="A2" s="266" t="s">
        <v>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20" ht="14">
      <c r="A3" s="266" t="s">
        <v>79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20">
      <c r="D4" s="228" t="s">
        <v>69</v>
      </c>
      <c r="E4" s="228"/>
      <c r="F4" s="228"/>
      <c r="G4" s="1" t="s">
        <v>7</v>
      </c>
      <c r="L4" s="1" t="s">
        <v>74</v>
      </c>
      <c r="M4" s="1" t="s">
        <v>44</v>
      </c>
      <c r="R4" s="1" t="s">
        <v>124</v>
      </c>
    </row>
    <row r="5" spans="1:20">
      <c r="B5" s="1"/>
      <c r="C5" s="1" t="s">
        <v>66</v>
      </c>
      <c r="D5" s="1" t="s">
        <v>67</v>
      </c>
      <c r="E5" s="1"/>
      <c r="F5" s="1"/>
      <c r="G5" s="1" t="s">
        <v>57</v>
      </c>
      <c r="H5" s="1" t="s">
        <v>60</v>
      </c>
      <c r="I5" s="1" t="s">
        <v>44</v>
      </c>
      <c r="J5" s="1" t="s">
        <v>7</v>
      </c>
      <c r="K5" s="1"/>
      <c r="L5" s="1" t="s">
        <v>66</v>
      </c>
      <c r="M5" s="1" t="s">
        <v>66</v>
      </c>
      <c r="N5" s="1" t="s">
        <v>22</v>
      </c>
      <c r="O5" s="1" t="s">
        <v>74</v>
      </c>
      <c r="P5" s="1" t="s">
        <v>7</v>
      </c>
      <c r="R5" s="1" t="s">
        <v>125</v>
      </c>
    </row>
    <row r="6" spans="1:20">
      <c r="A6" s="12" t="str">
        <f>Assumptions!A6</f>
        <v>Year</v>
      </c>
      <c r="B6" s="12"/>
      <c r="C6" s="12" t="s">
        <v>15</v>
      </c>
      <c r="D6" s="12" t="s">
        <v>68</v>
      </c>
      <c r="E6" s="12" t="s">
        <v>54</v>
      </c>
      <c r="F6" s="12" t="s">
        <v>65</v>
      </c>
      <c r="G6" s="12" t="s">
        <v>55</v>
      </c>
      <c r="H6" s="12" t="s">
        <v>64</v>
      </c>
      <c r="I6" s="12" t="s">
        <v>5</v>
      </c>
      <c r="J6" s="12" t="s">
        <v>70</v>
      </c>
      <c r="K6" s="12"/>
      <c r="L6" s="12" t="s">
        <v>34</v>
      </c>
      <c r="M6" s="12" t="s">
        <v>34</v>
      </c>
      <c r="N6" s="12" t="s">
        <v>71</v>
      </c>
      <c r="O6" s="12" t="s">
        <v>5</v>
      </c>
      <c r="P6" s="12" t="s">
        <v>71</v>
      </c>
      <c r="R6" s="12" t="s">
        <v>5</v>
      </c>
    </row>
    <row r="8" spans="1:20">
      <c r="A8" s="18">
        <f>Assumptions!A8</f>
        <v>2024</v>
      </c>
      <c r="B8" s="24"/>
      <c r="C8" s="25">
        <f>VLOOKUP($A8,'Debt Service'!$DZ$81:$EB$117, 'Debt Service'!EB$76, FALSE)</f>
        <v>31959017.250000004</v>
      </c>
      <c r="D8" s="25">
        <f>VLOOKUP($A8, 'Debt Service'!$DZ$206:$EB$242, 'Debt Service'!$EB$201, FALSE)</f>
        <v>4002642.9000000004</v>
      </c>
      <c r="E8" s="25">
        <f>VLOOKUP($A8, 'Recycling and Revenue earnings'!$A$10:$D$39, 'Recycling and Revenue earnings'!$D$1, FALSE)</f>
        <v>6075210.0329999998</v>
      </c>
      <c r="F8" s="25">
        <f>VLOOKUP($A8, 'Recycling and Revenue earnings'!$A$10:$H$47, 'Recycling and Revenue earnings'!$H$1, FALSE)</f>
        <v>384750</v>
      </c>
      <c r="G8" s="25">
        <f>SUM(D8:F8)</f>
        <v>10462602.933</v>
      </c>
      <c r="H8" s="25">
        <f>VLOOKUP($A8, 'Origination Fees'!$A$8:$D$46, 'Origination Fees'!$D$1, FALSE)</f>
        <v>80000</v>
      </c>
      <c r="I8" s="25">
        <f>VLOOKUP($A8, 'Loan Interest'!$A$8:$G$47, 'Loan Interest'!$G$1, FALSE)</f>
        <v>53186042.25</v>
      </c>
      <c r="J8" s="25">
        <f t="shared" ref="J8:J38" si="3">C8+SUM(G8:I8)</f>
        <v>95687662.432999998</v>
      </c>
      <c r="K8" s="84"/>
      <c r="L8" s="25">
        <f>VLOOKUP($A8, 'Debt Service'!$DZ$145:$EB$181, 'Debt Service'!$EB$140, FALSE)</f>
        <v>30974537.710000001</v>
      </c>
      <c r="M8" s="25">
        <f>'Loan Interest'!D8*Assumptions!J8</f>
        <v>14505284.25</v>
      </c>
      <c r="N8" s="25">
        <f>VLOOKUP($A8, Administration!$A$8:$D$45, Administration!$D$1, FALSE)</f>
        <v>1034442</v>
      </c>
      <c r="O8" s="25">
        <f>VLOOKUP($A8, 'Debt Service'!$DZ$11:$EB$47, 'Debt Service'!$EB$6, FALSE)</f>
        <v>49411860</v>
      </c>
      <c r="P8" s="25">
        <f t="shared" ref="P8:P39" si="4">SUM(L8:O8)</f>
        <v>95926123.960000008</v>
      </c>
      <c r="Q8" s="25"/>
      <c r="R8" s="25">
        <f t="shared" ref="R8:R39" si="5">J8-P8</f>
        <v>-238461.52700001001</v>
      </c>
      <c r="S8" s="25"/>
    </row>
    <row r="9" spans="1:20">
      <c r="A9" s="18">
        <f>Assumptions!A9</f>
        <v>2025</v>
      </c>
      <c r="B9" s="24"/>
      <c r="C9" s="25">
        <f>VLOOKUP($A9,'Debt Service'!$DZ$81:$EB$117, 'Debt Service'!EB$76, FALSE)</f>
        <v>31649017.250000004</v>
      </c>
      <c r="D9" s="25">
        <f>VLOOKUP($A9, 'Debt Service'!$DZ$206:$EB$242, 'Debt Service'!$EB$201, FALSE)</f>
        <v>3889497.3000000003</v>
      </c>
      <c r="E9" s="25">
        <f>VLOOKUP($A9, 'Recycling and Revenue earnings'!$A$10:$D$39, 'Recycling and Revenue earnings'!$D$1, FALSE)</f>
        <v>5758086.5010000002</v>
      </c>
      <c r="F9" s="25">
        <f>VLOOKUP($A9, 'Recycling and Revenue earnings'!$A$10:$H$47, 'Recycling and Revenue earnings'!$H$1, FALSE)</f>
        <v>384750</v>
      </c>
      <c r="G9" s="25">
        <f t="shared" ref="G9:G38" si="6">SUM(D9:F9)</f>
        <v>10032333.801000001</v>
      </c>
      <c r="H9" s="25">
        <f>VLOOKUP($A9, 'Origination Fees'!$A$8:$D$46, 'Origination Fees'!$D$1, FALSE)</f>
        <v>80000</v>
      </c>
      <c r="I9" s="25">
        <f>VLOOKUP($A9, 'Loan Interest'!$A$8:$G$47, 'Loan Interest'!$G$1, FALSE)</f>
        <v>52239228.25</v>
      </c>
      <c r="J9" s="25">
        <f t="shared" si="3"/>
        <v>94000579.300999999</v>
      </c>
      <c r="K9" s="84"/>
      <c r="L9" s="25">
        <f>VLOOKUP($A9, 'Debt Service'!$DZ$145:$EB$181, 'Debt Service'!$EB$140, FALSE)</f>
        <v>29854918.960000001</v>
      </c>
      <c r="M9" s="25">
        <f>'Loan Interest'!D9*Assumptions!J9</f>
        <v>14247062.25</v>
      </c>
      <c r="N9" s="25">
        <f>VLOOKUP($A9, Administration!$A$8:$D$45, Administration!$D$1, FALSE)</f>
        <v>989442</v>
      </c>
      <c r="O9" s="25">
        <f>VLOOKUP($A9, 'Debt Service'!$DZ$11:$EB$47, 'Debt Service'!$EB$6, FALSE)</f>
        <v>46911860</v>
      </c>
      <c r="P9" s="25">
        <f t="shared" si="4"/>
        <v>92003283.210000008</v>
      </c>
      <c r="Q9" s="25"/>
      <c r="R9" s="25">
        <f t="shared" si="5"/>
        <v>1997296.0909999907</v>
      </c>
      <c r="S9" s="25"/>
    </row>
    <row r="10" spans="1:20">
      <c r="A10" s="18">
        <f>Assumptions!A10</f>
        <v>2026</v>
      </c>
      <c r="B10" s="24"/>
      <c r="C10" s="25">
        <f>VLOOKUP($A10,'Debt Service'!$DZ$81:$EB$117, 'Debt Service'!EB$76, FALSE)</f>
        <v>31649017.250000004</v>
      </c>
      <c r="D10" s="25">
        <f>VLOOKUP($A10, 'Debt Service'!$DZ$206:$EB$242, 'Debt Service'!$EB$201, FALSE)</f>
        <v>3889497.3000000003</v>
      </c>
      <c r="E10" s="25">
        <f>VLOOKUP($A10, 'Recycling and Revenue earnings'!$A$10:$D$39, 'Recycling and Revenue earnings'!$D$1, FALSE)</f>
        <v>6438394.2960000001</v>
      </c>
      <c r="F10" s="25">
        <f>VLOOKUP($A10, 'Recycling and Revenue earnings'!$A$10:$H$47, 'Recycling and Revenue earnings'!$H$1, FALSE)</f>
        <v>384750</v>
      </c>
      <c r="G10" s="25">
        <f t="shared" si="6"/>
        <v>10712641.596000001</v>
      </c>
      <c r="H10" s="25">
        <f>VLOOKUP($A10, 'Origination Fees'!$A$8:$D$46, 'Origination Fees'!$D$1, FALSE)</f>
        <v>80000</v>
      </c>
      <c r="I10" s="25">
        <f>VLOOKUP($A10, 'Loan Interest'!$A$8:$G$47, 'Loan Interest'!$G$1, FALSE)</f>
        <v>51438180.75</v>
      </c>
      <c r="J10" s="25">
        <f t="shared" si="3"/>
        <v>93879839.596000001</v>
      </c>
      <c r="K10" s="84"/>
      <c r="L10" s="25">
        <f>VLOOKUP($A10, 'Debt Service'!$DZ$145:$EB$181, 'Debt Service'!$EB$140, FALSE)</f>
        <v>29854918.960000001</v>
      </c>
      <c r="M10" s="25">
        <f>'Loan Interest'!D10*Assumptions!J10</f>
        <v>14028594.75</v>
      </c>
      <c r="N10" s="25">
        <f>VLOOKUP($A10, Administration!$A$8:$D$45, Administration!$D$1, FALSE)</f>
        <v>989442</v>
      </c>
      <c r="O10" s="25">
        <f>VLOOKUP($A10, 'Debt Service'!$DZ$11:$EB$47, 'Debt Service'!$EB$6, FALSE)</f>
        <v>46911860</v>
      </c>
      <c r="P10" s="25">
        <f t="shared" si="4"/>
        <v>91784815.710000008</v>
      </c>
      <c r="Q10" s="25"/>
      <c r="R10" s="25">
        <f t="shared" si="5"/>
        <v>2095023.8859999925</v>
      </c>
      <c r="S10" s="25"/>
    </row>
    <row r="11" spans="1:20">
      <c r="A11" s="18">
        <f>Assumptions!A11</f>
        <v>2027</v>
      </c>
      <c r="B11" s="24"/>
      <c r="C11" s="25">
        <f>VLOOKUP($A11,'Debt Service'!$DZ$81:$EB$117, 'Debt Service'!EB$76, FALSE)</f>
        <v>30585367.250000004</v>
      </c>
      <c r="D11" s="25">
        <f>VLOOKUP($A11, 'Debt Service'!$DZ$206:$EB$242, 'Debt Service'!$EB$201, FALSE)</f>
        <v>3889497.3000000003</v>
      </c>
      <c r="E11" s="25">
        <f>VLOOKUP($A11, 'Recycling and Revenue earnings'!$A$10:$D$39, 'Recycling and Revenue earnings'!$D$1, FALSE)</f>
        <v>7182622.3905000007</v>
      </c>
      <c r="F11" s="25">
        <f>VLOOKUP($A11, 'Recycling and Revenue earnings'!$A$10:$H$47, 'Recycling and Revenue earnings'!$H$1, FALSE)</f>
        <v>384750</v>
      </c>
      <c r="G11" s="25">
        <f t="shared" si="6"/>
        <v>11456869.6905</v>
      </c>
      <c r="H11" s="25">
        <f>VLOOKUP($A11, 'Origination Fees'!$A$8:$D$46, 'Origination Fees'!$D$1, FALSE)</f>
        <v>54710</v>
      </c>
      <c r="I11" s="25">
        <f>VLOOKUP($A11, 'Loan Interest'!$A$8:$G$47, 'Loan Interest'!$G$1, FALSE)</f>
        <v>50145697.25</v>
      </c>
      <c r="J11" s="25">
        <f t="shared" si="3"/>
        <v>92242644.190500006</v>
      </c>
      <c r="K11" s="84"/>
      <c r="L11" s="25">
        <f>VLOOKUP($A11, 'Debt Service'!$DZ$145:$EB$181, 'Debt Service'!$EB$140, FALSE)</f>
        <v>28652700.210000001</v>
      </c>
      <c r="M11" s="25">
        <f>'Loan Interest'!D11*Assumptions!J11</f>
        <v>13676099.25</v>
      </c>
      <c r="N11" s="25">
        <f>VLOOKUP($A11, Administration!$A$8:$D$45, Administration!$D$1, FALSE)</f>
        <v>989442</v>
      </c>
      <c r="O11" s="25">
        <f>VLOOKUP($A11, 'Debt Service'!$DZ$11:$EB$47, 'Debt Service'!$EB$6, FALSE)</f>
        <v>46911860</v>
      </c>
      <c r="P11" s="25">
        <f t="shared" si="4"/>
        <v>90230101.460000008</v>
      </c>
      <c r="Q11" s="25"/>
      <c r="R11" s="25">
        <f t="shared" si="5"/>
        <v>2012542.7304999977</v>
      </c>
      <c r="S11" s="25"/>
    </row>
    <row r="12" spans="1:20">
      <c r="A12" s="18">
        <f>Assumptions!A12</f>
        <v>2028</v>
      </c>
      <c r="B12" s="24"/>
      <c r="C12" s="25">
        <f>VLOOKUP($A12,'Debt Service'!$DZ$81:$EB$117, 'Debt Service'!EB$76, FALSE)</f>
        <v>28620433.25</v>
      </c>
      <c r="D12" s="25">
        <f>VLOOKUP($A12, 'Debt Service'!$DZ$206:$EB$242, 'Debt Service'!$EB$201, FALSE)</f>
        <v>3801891.1500000004</v>
      </c>
      <c r="E12" s="25">
        <f>VLOOKUP($A12, 'Recycling and Revenue earnings'!$A$10:$D$39, 'Recycling and Revenue earnings'!$D$1, FALSE)</f>
        <v>5040662.9400000004</v>
      </c>
      <c r="F12" s="25">
        <f>VLOOKUP($A12, 'Recycling and Revenue earnings'!$A$10:$H$47, 'Recycling and Revenue earnings'!$H$1, FALSE)</f>
        <v>384750</v>
      </c>
      <c r="G12" s="25">
        <f t="shared" si="6"/>
        <v>9227304.0899999999</v>
      </c>
      <c r="H12" s="25">
        <f>VLOOKUP($A12, 'Origination Fees'!$A$8:$D$46, 'Origination Fees'!$D$1, FALSE)</f>
        <v>0</v>
      </c>
      <c r="I12" s="25">
        <f>VLOOKUP($A12, 'Loan Interest'!$A$8:$G$47, 'Loan Interest'!$G$1, FALSE)</f>
        <v>46818145</v>
      </c>
      <c r="J12" s="25">
        <f t="shared" si="3"/>
        <v>84665882.340000004</v>
      </c>
      <c r="K12" s="84"/>
      <c r="L12" s="25">
        <f>VLOOKUP($A12, 'Debt Service'!$DZ$145:$EB$181, 'Debt Service'!$EB$140, FALSE)</f>
        <v>25152945.973333333</v>
      </c>
      <c r="M12" s="25">
        <f>'Loan Interest'!D12*Assumptions!J12</f>
        <v>12768585</v>
      </c>
      <c r="N12" s="25">
        <f>VLOOKUP($A12, Administration!$A$8:$D$45, Administration!$D$1, FALSE)</f>
        <v>974308.5</v>
      </c>
      <c r="O12" s="25">
        <f>VLOOKUP($A12, 'Debt Service'!$DZ$11:$EB$47, 'Debt Service'!$EB$6, FALSE)</f>
        <v>45748405</v>
      </c>
      <c r="P12" s="25">
        <f t="shared" si="4"/>
        <v>84644244.473333329</v>
      </c>
      <c r="Q12" s="25"/>
      <c r="R12" s="25">
        <f t="shared" si="5"/>
        <v>21637.866666674614</v>
      </c>
      <c r="S12" s="25"/>
    </row>
    <row r="13" spans="1:20">
      <c r="A13" s="18">
        <f>Assumptions!A13</f>
        <v>2029</v>
      </c>
      <c r="B13" s="24"/>
      <c r="C13" s="27">
        <f>VLOOKUP($A13,'Debt Service'!$DZ$81:$EB$117, 'Debt Service'!EB$76, FALSE)</f>
        <v>17903033.300000001</v>
      </c>
      <c r="D13" s="27">
        <f>VLOOKUP($A13, 'Debt Service'!$DZ$206:$EB$242, 'Debt Service'!$EB$201, FALSE)</f>
        <v>2644932.6</v>
      </c>
      <c r="E13" s="27">
        <f>VLOOKUP($A13, 'Recycling and Revenue earnings'!$A$10:$D$39, 'Recycling and Revenue earnings'!$D$1, FALSE)</f>
        <v>2448066.429</v>
      </c>
      <c r="F13" s="27">
        <f>VLOOKUP($A13, 'Recycling and Revenue earnings'!$A$10:$H$47, 'Recycling and Revenue earnings'!$H$1, FALSE)</f>
        <v>350325</v>
      </c>
      <c r="G13" s="25">
        <f t="shared" si="6"/>
        <v>5443324.0290000001</v>
      </c>
      <c r="H13" s="27">
        <f>VLOOKUP($A13, 'Origination Fees'!$A$8:$D$46, 'Origination Fees'!$D$1, FALSE)</f>
        <v>0</v>
      </c>
      <c r="I13" s="27">
        <f>VLOOKUP($A13, 'Loan Interest'!$A$8:$G$47, 'Loan Interest'!$G$1, FALSE)</f>
        <v>42674079.25</v>
      </c>
      <c r="J13" s="27">
        <f t="shared" si="3"/>
        <v>66020436.578999996</v>
      </c>
      <c r="K13" s="84"/>
      <c r="L13" s="27">
        <f>VLOOKUP($A13, 'Debt Service'!$DZ$145:$EB$181, 'Debt Service'!$EB$140, FALSE)</f>
        <v>19914050</v>
      </c>
      <c r="M13" s="25">
        <f>'Loan Interest'!D13*Assumptions!J13</f>
        <v>11638385.25</v>
      </c>
      <c r="N13" s="27">
        <f>VLOOKUP($A13, Administration!$A$8:$D$45, Administration!$D$1, FALSE)</f>
        <v>776727</v>
      </c>
      <c r="O13" s="25">
        <f>VLOOKUP($A13, 'Debt Service'!$DZ$11:$EB$47, 'Debt Service'!$EB$6, FALSE)</f>
        <v>33223980</v>
      </c>
      <c r="P13" s="27">
        <f t="shared" si="4"/>
        <v>65553142.25</v>
      </c>
      <c r="Q13" s="27"/>
      <c r="R13" s="27">
        <f t="shared" si="5"/>
        <v>467294.32899999619</v>
      </c>
      <c r="S13" s="27"/>
      <c r="T13" s="29"/>
    </row>
    <row r="14" spans="1:20">
      <c r="A14" s="18">
        <f>Assumptions!A14</f>
        <v>2030</v>
      </c>
      <c r="B14" s="24"/>
      <c r="C14" s="25">
        <f>VLOOKUP($A14,'Debt Service'!$DZ$81:$EB$117, 'Debt Service'!EB$76, FALSE)</f>
        <v>17193613.300000001</v>
      </c>
      <c r="D14" s="25">
        <f>VLOOKUP($A14, 'Debt Service'!$DZ$206:$EB$242, 'Debt Service'!$EB$201, FALSE)</f>
        <v>2499055</v>
      </c>
      <c r="E14" s="25">
        <f>VLOOKUP($A14, 'Recycling and Revenue earnings'!$A$10:$D$39, 'Recycling and Revenue earnings'!$D$1, FALSE)</f>
        <v>2410808.1975000002</v>
      </c>
      <c r="F14" s="25">
        <f>VLOOKUP($A14, 'Recycling and Revenue earnings'!$A$10:$H$47, 'Recycling and Revenue earnings'!$H$1, FALSE)</f>
        <v>350325</v>
      </c>
      <c r="G14" s="25">
        <f t="shared" si="6"/>
        <v>5260188.1974999998</v>
      </c>
      <c r="H14" s="25">
        <f>VLOOKUP($A14, 'Origination Fees'!$A$8:$D$46, 'Origination Fees'!$D$1, FALSE)</f>
        <v>65645</v>
      </c>
      <c r="I14" s="25">
        <f>VLOOKUP($A14, 'Loan Interest'!$A$8:$G$47, 'Loan Interest'!$G$1, FALSE)</f>
        <v>40825675</v>
      </c>
      <c r="J14" s="25">
        <f t="shared" si="3"/>
        <v>63345121.497500002</v>
      </c>
      <c r="K14" s="84"/>
      <c r="L14" s="25">
        <f>VLOOKUP($A14, 'Debt Service'!$DZ$145:$EB$181, 'Debt Service'!$EB$140, FALSE)</f>
        <v>18277800</v>
      </c>
      <c r="M14" s="25">
        <f>'Loan Interest'!D14*Assumptions!J14</f>
        <v>11134275</v>
      </c>
      <c r="N14" s="25">
        <f>VLOOKUP($A14, Administration!$A$8:$D$45, Administration!$D$1, FALSE)</f>
        <v>716427</v>
      </c>
      <c r="O14" s="25">
        <f>VLOOKUP($A14, 'Debt Service'!$DZ$11:$EB$47, 'Debt Service'!$EB$6, FALSE)</f>
        <v>31748980</v>
      </c>
      <c r="P14" s="25">
        <f t="shared" si="4"/>
        <v>61877482</v>
      </c>
      <c r="Q14" s="25"/>
      <c r="R14" s="25">
        <f t="shared" si="5"/>
        <v>1467639.4975000024</v>
      </c>
      <c r="S14" s="25"/>
      <c r="T14" s="29"/>
    </row>
    <row r="15" spans="1:20">
      <c r="A15" s="18">
        <f>Assumptions!A15</f>
        <v>2031</v>
      </c>
      <c r="B15" s="24"/>
      <c r="C15" s="27">
        <f>VLOOKUP($A15,'Debt Service'!$DZ$81:$EB$117, 'Debt Service'!EB$76, FALSE)</f>
        <v>17156563.300000001</v>
      </c>
      <c r="D15" s="27">
        <f>VLOOKUP($A15, 'Debt Service'!$DZ$206:$EB$242, 'Debt Service'!$EB$201, FALSE)</f>
        <v>2490251</v>
      </c>
      <c r="E15" s="27">
        <f>VLOOKUP($A15, 'Recycling and Revenue earnings'!$A$10:$D$39, 'Recycling and Revenue earnings'!$D$1, FALSE)</f>
        <v>3801715.2225000001</v>
      </c>
      <c r="F15" s="27">
        <f>VLOOKUP($A15, 'Recycling and Revenue earnings'!$A$10:$H$47, 'Recycling and Revenue earnings'!$H$1, FALSE)</f>
        <v>350325</v>
      </c>
      <c r="G15" s="27">
        <f t="shared" si="6"/>
        <v>6642291.2225000001</v>
      </c>
      <c r="H15" s="27">
        <f>VLOOKUP($A15, 'Origination Fees'!$A$8:$D$46, 'Origination Fees'!$D$1, FALSE)</f>
        <v>0</v>
      </c>
      <c r="I15" s="27">
        <f>VLOOKUP($A15, 'Loan Interest'!$A$8:$G$47, 'Loan Interest'!$G$1, FALSE)</f>
        <v>39058937.5</v>
      </c>
      <c r="J15" s="27">
        <f t="shared" si="3"/>
        <v>62857792.022499993</v>
      </c>
      <c r="K15" s="84"/>
      <c r="L15" s="27">
        <f>VLOOKUP($A15, 'Debt Service'!$DZ$145:$EB$181, 'Debt Service'!$EB$140, FALSE)</f>
        <v>18234050</v>
      </c>
      <c r="M15" s="25">
        <f>'Loan Interest'!D15*Assumptions!J15</f>
        <v>10652437.5</v>
      </c>
      <c r="N15" s="27">
        <f>VLOOKUP($A15, Administration!$A$8:$D$45, Administration!$D$1, FALSE)</f>
        <v>711927</v>
      </c>
      <c r="O15" s="27">
        <f>VLOOKUP($A15, 'Debt Service'!$DZ$11:$EB$47, 'Debt Service'!$EB$6, FALSE)</f>
        <v>31623980</v>
      </c>
      <c r="P15" s="27">
        <f t="shared" si="4"/>
        <v>61222394.5</v>
      </c>
      <c r="Q15" s="27"/>
      <c r="R15" s="27">
        <f t="shared" si="5"/>
        <v>1635397.5224999934</v>
      </c>
      <c r="S15" s="27"/>
      <c r="T15" s="29"/>
    </row>
    <row r="16" spans="1:20">
      <c r="A16" s="18">
        <f>Assumptions!A16</f>
        <v>2032</v>
      </c>
      <c r="B16" s="24"/>
      <c r="C16" s="27">
        <f>VLOOKUP($A16,'Debt Service'!$DZ$81:$EB$117, 'Debt Service'!EB$76, FALSE)</f>
        <v>17156563.300000001</v>
      </c>
      <c r="D16" s="27">
        <f>VLOOKUP($A16, 'Debt Service'!$DZ$206:$EB$242, 'Debt Service'!$EB$201, FALSE)</f>
        <v>2490251</v>
      </c>
      <c r="E16" s="27">
        <f>VLOOKUP($A16, 'Recycling and Revenue earnings'!$A$10:$D$39, 'Recycling and Revenue earnings'!$D$1, FALSE)</f>
        <v>4052127.5325000002</v>
      </c>
      <c r="F16" s="27">
        <f>VLOOKUP($A16, 'Recycling and Revenue earnings'!$A$10:$H$47, 'Recycling and Revenue earnings'!$H$1, FALSE)</f>
        <v>350325</v>
      </c>
      <c r="G16" s="27">
        <f t="shared" si="6"/>
        <v>6892703.5325000007</v>
      </c>
      <c r="H16" s="27">
        <f>VLOOKUP($A16, 'Origination Fees'!$A$8:$D$46, 'Origination Fees'!$D$1, FALSE)</f>
        <v>0</v>
      </c>
      <c r="I16" s="27">
        <f>VLOOKUP($A16, 'Loan Interest'!$A$8:$G$47, 'Loan Interest'!$G$1, FALSE)</f>
        <v>35670332.5</v>
      </c>
      <c r="J16" s="27">
        <f t="shared" si="3"/>
        <v>59719599.332499996</v>
      </c>
      <c r="K16" s="84"/>
      <c r="L16" s="27">
        <f>VLOOKUP($A16, 'Debt Service'!$DZ$145:$EB$181, 'Debt Service'!$EB$140, FALSE)</f>
        <v>16411133.333333334</v>
      </c>
      <c r="M16" s="25">
        <f>'Loan Interest'!D16*Assumptions!J16</f>
        <v>9728272.5</v>
      </c>
      <c r="N16" s="27">
        <f>VLOOKUP($A16, Administration!$A$8:$D$45, Administration!$D$1, FALSE)</f>
        <v>711927</v>
      </c>
      <c r="O16" s="27">
        <f>VLOOKUP($A16, 'Debt Service'!$DZ$11:$EB$47, 'Debt Service'!$EB$6, FALSE)</f>
        <v>31623980</v>
      </c>
      <c r="P16" s="27">
        <f t="shared" si="4"/>
        <v>58475312.833333336</v>
      </c>
      <c r="Q16" s="27"/>
      <c r="R16" s="27">
        <f t="shared" si="5"/>
        <v>1244286.49916666</v>
      </c>
      <c r="S16" s="27"/>
      <c r="T16" s="29"/>
    </row>
    <row r="17" spans="1:20">
      <c r="A17" s="18">
        <f>Assumptions!A17</f>
        <v>2033</v>
      </c>
      <c r="B17" s="24"/>
      <c r="C17" s="27">
        <f>VLOOKUP($A17,'Debt Service'!$DZ$81:$EB$117, 'Debt Service'!EB$76, FALSE)</f>
        <v>11200313.300000001</v>
      </c>
      <c r="D17" s="27">
        <f>VLOOKUP($A17, 'Debt Service'!$DZ$206:$EB$242, 'Debt Service'!$EB$201, FALSE)</f>
        <v>1825790.5128696021</v>
      </c>
      <c r="E17" s="27">
        <f>VLOOKUP($A17, 'Recycling and Revenue earnings'!$A$10:$D$39, 'Recycling and Revenue earnings'!$D$1, FALSE)</f>
        <v>2796965.5006780471</v>
      </c>
      <c r="F17" s="27">
        <f>VLOOKUP($A17, 'Recycling and Revenue earnings'!$A$10:$H$47, 'Recycling and Revenue earnings'!$H$1, FALSE)</f>
        <v>350325</v>
      </c>
      <c r="G17" s="27">
        <f t="shared" si="6"/>
        <v>4973081.0135476496</v>
      </c>
      <c r="H17" s="27">
        <f>VLOOKUP($A17, 'Origination Fees'!$A$8:$D$46, 'Origination Fees'!$D$1, FALSE)</f>
        <v>0</v>
      </c>
      <c r="I17" s="27">
        <f>VLOOKUP($A17, 'Loan Interest'!$A$8:$G$47, 'Loan Interest'!$G$1, FALSE)</f>
        <v>32492707.5</v>
      </c>
      <c r="J17" s="27">
        <f t="shared" si="3"/>
        <v>48666101.813547656</v>
      </c>
      <c r="K17" s="84"/>
      <c r="L17" s="27">
        <f>VLOOKUP($A17, 'Debt Service'!$DZ$145:$EB$181, 'Debt Service'!$EB$140, FALSE)</f>
        <v>13771550</v>
      </c>
      <c r="M17" s="25">
        <f>'Loan Interest'!D17*Assumptions!J17</f>
        <v>8861647.5</v>
      </c>
      <c r="N17" s="27">
        <f>VLOOKUP($A17, Administration!$A$8:$D$45, Administration!$D$1, FALSE)</f>
        <v>599427</v>
      </c>
      <c r="O17" s="27">
        <f>VLOOKUP($A17, 'Debt Service'!$DZ$11:$EB$47, 'Debt Service'!$EB$6, FALSE)</f>
        <v>24436480</v>
      </c>
      <c r="P17" s="27">
        <f t="shared" si="4"/>
        <v>47669104.5</v>
      </c>
      <c r="Q17" s="27"/>
      <c r="R17" s="27">
        <f t="shared" si="5"/>
        <v>996997.31354765594</v>
      </c>
      <c r="S17" s="27"/>
      <c r="T17" s="29"/>
    </row>
    <row r="18" spans="1:20">
      <c r="A18" s="18">
        <f>Assumptions!A18</f>
        <v>2034</v>
      </c>
      <c r="B18" s="24"/>
      <c r="C18" s="27">
        <f>VLOOKUP($A18,'Debt Service'!$DZ$81:$EB$117, 'Debt Service'!EB$76, FALSE)</f>
        <v>10332313.300000001</v>
      </c>
      <c r="D18" s="27">
        <f>VLOOKUP($A18, 'Debt Service'!$DZ$206:$EB$242, 'Debt Service'!$EB$201, FALSE)</f>
        <v>1644628</v>
      </c>
      <c r="E18" s="27">
        <f>VLOOKUP($A18, 'Recycling and Revenue earnings'!$A$10:$D$39, 'Recycling and Revenue earnings'!$D$1, FALSE)</f>
        <v>2546617.5225</v>
      </c>
      <c r="F18" s="27">
        <f>VLOOKUP($A18, 'Recycling and Revenue earnings'!$A$10:$H$47, 'Recycling and Revenue earnings'!$H$1, FALSE)</f>
        <v>350325</v>
      </c>
      <c r="G18" s="27">
        <f t="shared" si="6"/>
        <v>4541570.5225</v>
      </c>
      <c r="H18" s="27">
        <f>VLOOKUP($A18, 'Origination Fees'!$A$8:$D$46, 'Origination Fees'!$D$1, FALSE)</f>
        <v>22335</v>
      </c>
      <c r="I18" s="27">
        <f>VLOOKUP($A18, 'Loan Interest'!$A$8:$G$47, 'Loan Interest'!$G$1, FALSE)</f>
        <v>30157077.5</v>
      </c>
      <c r="J18" s="27">
        <f t="shared" si="3"/>
        <v>45053296.322500005</v>
      </c>
      <c r="K18" s="84"/>
      <c r="L18" s="27">
        <f>VLOOKUP($A18, 'Debt Service'!$DZ$145:$EB$181, 'Debt Service'!$EB$140, FALSE)</f>
        <v>11759050</v>
      </c>
      <c r="M18" s="25">
        <f>'Loan Interest'!D18*Assumptions!J18</f>
        <v>8224657.5</v>
      </c>
      <c r="N18" s="27">
        <f>VLOOKUP($A18, Administration!$A$8:$D$45, Administration!$D$1, FALSE)</f>
        <v>545427</v>
      </c>
      <c r="O18" s="27">
        <f>VLOOKUP($A18, 'Debt Service'!$DZ$11:$EB$47, 'Debt Service'!$EB$6, FALSE)</f>
        <v>22936480</v>
      </c>
      <c r="P18" s="27">
        <f t="shared" si="4"/>
        <v>43465614.5</v>
      </c>
      <c r="Q18" s="27"/>
      <c r="R18" s="27">
        <f t="shared" si="5"/>
        <v>1587681.8225000054</v>
      </c>
      <c r="S18" s="27"/>
      <c r="T18" s="29"/>
    </row>
    <row r="19" spans="1:20">
      <c r="A19" s="18">
        <f>Assumptions!A19</f>
        <v>2035</v>
      </c>
      <c r="B19" s="24"/>
      <c r="C19" s="27">
        <f>VLOOKUP($A19,'Debt Service'!$DZ$81:$EB$117, 'Debt Service'!EB$76, FALSE)</f>
        <v>9712350</v>
      </c>
      <c r="D19" s="27">
        <f>VLOOKUP($A19, 'Debt Service'!$DZ$206:$EB$242, 'Debt Service'!$EB$201, FALSE)</f>
        <v>1497686.4871303977</v>
      </c>
      <c r="E19" s="27">
        <f>VLOOKUP($A19, 'Recycling and Revenue earnings'!$A$10:$D$39, 'Recycling and Revenue earnings'!$D$1, FALSE)</f>
        <v>2475402.3943219529</v>
      </c>
      <c r="F19" s="27">
        <f>VLOOKUP($A19, 'Recycling and Revenue earnings'!$A$10:$H$47, 'Recycling and Revenue earnings'!$H$1, FALSE)</f>
        <v>350325</v>
      </c>
      <c r="G19" s="27">
        <f t="shared" si="6"/>
        <v>4323413.8814523509</v>
      </c>
      <c r="H19" s="27">
        <f>VLOOKUP($A19, 'Origination Fees'!$A$8:$D$46, 'Origination Fees'!$D$1, FALSE)</f>
        <v>0</v>
      </c>
      <c r="I19" s="27">
        <f>VLOOKUP($A19, 'Loan Interest'!$A$8:$G$47, 'Loan Interest'!$G$1, FALSE)</f>
        <v>27870095</v>
      </c>
      <c r="J19" s="27">
        <f t="shared" si="3"/>
        <v>41905858.881452352</v>
      </c>
      <c r="K19" s="84"/>
      <c r="L19" s="27">
        <f>VLOOKUP($A19, 'Debt Service'!$DZ$145:$EB$181, 'Debt Service'!$EB$140, FALSE)</f>
        <v>9010500</v>
      </c>
      <c r="M19" s="25">
        <f>'Loan Interest'!D19*Assumptions!J19</f>
        <v>7600935</v>
      </c>
      <c r="N19" s="27">
        <f>VLOOKUP($A19, Administration!$A$8:$D$45, Administration!$D$1, FALSE)</f>
        <v>508500</v>
      </c>
      <c r="O19" s="27">
        <f>VLOOKUP($A19, 'Debt Service'!$DZ$11:$EB$47, 'Debt Service'!$EB$6, FALSE)</f>
        <v>22115880</v>
      </c>
      <c r="P19" s="27">
        <f t="shared" si="4"/>
        <v>39235815</v>
      </c>
      <c r="Q19" s="27"/>
      <c r="R19" s="27">
        <f t="shared" si="5"/>
        <v>2670043.8814523518</v>
      </c>
      <c r="S19" s="27"/>
      <c r="T19" s="29"/>
    </row>
    <row r="20" spans="1:20">
      <c r="A20" s="18">
        <f>Assumptions!A20</f>
        <v>2036</v>
      </c>
      <c r="B20" s="24"/>
      <c r="C20" s="27">
        <f>VLOOKUP($A20,'Debt Service'!$DZ$81:$EB$117, 'Debt Service'!EB$76, FALSE)</f>
        <v>8956850</v>
      </c>
      <c r="D20" s="27">
        <f>VLOOKUP($A20, 'Debt Service'!$DZ$206:$EB$242, 'Debt Service'!$EB$201, FALSE)</f>
        <v>1416976</v>
      </c>
      <c r="E20" s="27">
        <f>VLOOKUP($A20, 'Recycling and Revenue earnings'!$A$10:$D$39, 'Recycling and Revenue earnings'!$D$1, FALSE)</f>
        <v>2617009.4925000002</v>
      </c>
      <c r="F20" s="27">
        <f>VLOOKUP($A20, 'Recycling and Revenue earnings'!$A$10:$H$47, 'Recycling and Revenue earnings'!$H$1, FALSE)</f>
        <v>350325</v>
      </c>
      <c r="G20" s="27">
        <f t="shared" si="6"/>
        <v>4384310.4924999997</v>
      </c>
      <c r="H20" s="27">
        <f>VLOOKUP($A20, 'Origination Fees'!$A$8:$D$46, 'Origination Fees'!$D$1, FALSE)</f>
        <v>50120</v>
      </c>
      <c r="I20" s="27">
        <f>VLOOKUP($A20, 'Loan Interest'!$A$8:$G$47, 'Loan Interest'!$G$1, FALSE)</f>
        <v>26401127.5</v>
      </c>
      <c r="J20" s="27">
        <f t="shared" si="3"/>
        <v>39792407.9925</v>
      </c>
      <c r="K20" s="84"/>
      <c r="L20" s="27">
        <f>VLOOKUP($A20, 'Debt Service'!$DZ$145:$EB$181, 'Debt Service'!$EB$140, FALSE)</f>
        <v>8573000</v>
      </c>
      <c r="M20" s="25">
        <f>'Loan Interest'!D20*Assumptions!J20</f>
        <v>7200307.5</v>
      </c>
      <c r="N20" s="27">
        <f>VLOOKUP($A20, Administration!$A$8:$D$45, Administration!$D$1, FALSE)</f>
        <v>463500</v>
      </c>
      <c r="O20" s="25">
        <f>VLOOKUP($A20, 'Debt Service'!$DZ$11:$EB$47, 'Debt Service'!$EB$6, FALSE)</f>
        <v>21115880</v>
      </c>
      <c r="P20" s="27">
        <f t="shared" si="4"/>
        <v>37352687.5</v>
      </c>
      <c r="Q20" s="27"/>
      <c r="R20" s="27">
        <f t="shared" si="5"/>
        <v>2439720.4924999997</v>
      </c>
      <c r="S20" s="27"/>
      <c r="T20" s="29"/>
    </row>
    <row r="21" spans="1:20">
      <c r="A21" s="18">
        <f>Assumptions!A21</f>
        <v>2037</v>
      </c>
      <c r="B21" s="24"/>
      <c r="C21" s="27">
        <f>VLOOKUP($A21,'Debt Service'!$DZ$81:$EB$117, 'Debt Service'!EB$76, FALSE)</f>
        <v>7654500</v>
      </c>
      <c r="D21" s="27">
        <f>VLOOKUP($A21, 'Debt Service'!$DZ$206:$EB$242, 'Debt Service'!$EB$201, FALSE)</f>
        <v>1338974</v>
      </c>
      <c r="E21" s="27">
        <f>VLOOKUP($A21, 'Recycling and Revenue earnings'!$A$10:$D$39, 'Recycling and Revenue earnings'!$D$1, FALSE)</f>
        <v>2510697.5325000002</v>
      </c>
      <c r="F21" s="27">
        <f>VLOOKUP($A21, 'Recycling and Revenue earnings'!$A$10:$H$47, 'Recycling and Revenue earnings'!$H$1, FALSE)</f>
        <v>350325</v>
      </c>
      <c r="G21" s="27">
        <f t="shared" si="6"/>
        <v>4199996.5325000007</v>
      </c>
      <c r="H21" s="27">
        <f>VLOOKUP($A21, 'Origination Fees'!$A$8:$D$46, 'Origination Fees'!$D$1, FALSE)</f>
        <v>0</v>
      </c>
      <c r="I21" s="27">
        <f>VLOOKUP($A21, 'Loan Interest'!$A$8:$G$47, 'Loan Interest'!$G$1, FALSE)</f>
        <v>24976077.5</v>
      </c>
      <c r="J21" s="27">
        <f t="shared" si="3"/>
        <v>36830574.032499999</v>
      </c>
      <c r="K21" s="84"/>
      <c r="L21" s="27">
        <f>VLOOKUP($A21, 'Debt Service'!$DZ$145:$EB$181, 'Debt Service'!$EB$140, FALSE)</f>
        <v>7436500</v>
      </c>
      <c r="M21" s="25">
        <f>'Loan Interest'!D21*Assumptions!J21</f>
        <v>6811657.5</v>
      </c>
      <c r="N21" s="27">
        <f>VLOOKUP($A21, Administration!$A$8:$D$45, Administration!$D$1, FALSE)</f>
        <v>463500</v>
      </c>
      <c r="O21" s="25">
        <f>VLOOKUP($A21, 'Debt Service'!$DZ$11:$EB$47, 'Debt Service'!$EB$6, FALSE)</f>
        <v>19752230</v>
      </c>
      <c r="P21" s="27">
        <f t="shared" si="4"/>
        <v>34463887.5</v>
      </c>
      <c r="Q21" s="27"/>
      <c r="R21" s="27">
        <f t="shared" si="5"/>
        <v>2366686.5324999988</v>
      </c>
      <c r="S21" s="27"/>
      <c r="T21" s="29"/>
    </row>
    <row r="22" spans="1:20">
      <c r="A22" s="18">
        <f>Assumptions!A22</f>
        <v>2038</v>
      </c>
      <c r="B22" s="24"/>
      <c r="C22" s="27">
        <f>VLOOKUP($A22,'Debt Service'!$DZ$81:$EB$117, 'Debt Service'!EB$76, FALSE)</f>
        <v>6352150</v>
      </c>
      <c r="D22" s="27">
        <f>VLOOKUP($A22, 'Debt Service'!$DZ$206:$EB$242, 'Debt Service'!$EB$201, FALSE)</f>
        <v>1260972</v>
      </c>
      <c r="E22" s="27">
        <f>VLOOKUP($A22, 'Recycling and Revenue earnings'!$A$10:$D$39, 'Recycling and Revenue earnings'!$D$1, FALSE)</f>
        <v>2369096.1675</v>
      </c>
      <c r="F22" s="27">
        <f>VLOOKUP($A22, 'Recycling and Revenue earnings'!$A$10:$H$47, 'Recycling and Revenue earnings'!$H$1, FALSE)</f>
        <v>350325</v>
      </c>
      <c r="G22" s="27">
        <f t="shared" si="6"/>
        <v>3980393.1675</v>
      </c>
      <c r="H22" s="27">
        <f>VLOOKUP($A22, 'Origination Fees'!$A$8:$D$46, 'Origination Fees'!$D$1, FALSE)</f>
        <v>52880</v>
      </c>
      <c r="I22" s="27">
        <f>VLOOKUP($A22, 'Loan Interest'!$A$8:$G$47, 'Loan Interest'!$G$1, FALSE)</f>
        <v>23592580</v>
      </c>
      <c r="J22" s="27">
        <f t="shared" si="3"/>
        <v>33978003.167500004</v>
      </c>
      <c r="K22" s="84"/>
      <c r="L22" s="27">
        <f>VLOOKUP($A22, 'Debt Service'!$DZ$145:$EB$181, 'Debt Service'!$EB$140, FALSE)</f>
        <v>6300000.0000000009</v>
      </c>
      <c r="M22" s="25">
        <f>'Loan Interest'!D22*Assumptions!J22</f>
        <v>6434340</v>
      </c>
      <c r="N22" s="27">
        <f>VLOOKUP($A22, Administration!$A$8:$D$45, Administration!$D$1, FALSE)</f>
        <v>409500</v>
      </c>
      <c r="O22" s="25">
        <f>VLOOKUP($A22, 'Debt Service'!$DZ$11:$EB$47, 'Debt Service'!$EB$6, FALSE)</f>
        <v>18388580.000000004</v>
      </c>
      <c r="P22" s="27">
        <f t="shared" si="4"/>
        <v>31532420.000000004</v>
      </c>
      <c r="Q22" s="27"/>
      <c r="R22" s="27">
        <f t="shared" si="5"/>
        <v>2445583.1675000004</v>
      </c>
      <c r="S22" s="27"/>
      <c r="T22" s="29"/>
    </row>
    <row r="23" spans="1:20">
      <c r="A23" s="18">
        <f>Assumptions!A23</f>
        <v>2039</v>
      </c>
      <c r="B23" s="24"/>
      <c r="C23" s="27">
        <f>VLOOKUP($A23,'Debt Service'!$DZ$81:$EB$117, 'Debt Service'!EB$76, FALSE)</f>
        <v>6352150</v>
      </c>
      <c r="D23" s="27">
        <f>VLOOKUP($A23, 'Debt Service'!$DZ$206:$EB$242, 'Debt Service'!$EB$201, FALSE)</f>
        <v>1260972</v>
      </c>
      <c r="E23" s="27">
        <f>VLOOKUP($A23, 'Recycling and Revenue earnings'!$A$10:$D$39, 'Recycling and Revenue earnings'!$D$1, FALSE)</f>
        <v>2335511.6775000002</v>
      </c>
      <c r="F23" s="27">
        <f>VLOOKUP($A23, 'Recycling and Revenue earnings'!$A$10:$H$47, 'Recycling and Revenue earnings'!$H$1, FALSE)</f>
        <v>350325</v>
      </c>
      <c r="G23" s="27">
        <f t="shared" si="6"/>
        <v>3946808.6775000002</v>
      </c>
      <c r="H23" s="27">
        <f>VLOOKUP($A23, 'Origination Fees'!$A$8:$D$46, 'Origination Fees'!$D$1, FALSE)</f>
        <v>49280</v>
      </c>
      <c r="I23" s="27">
        <f>VLOOKUP($A23, 'Loan Interest'!$A$8:$G$47, 'Loan Interest'!$G$1, FALSE)</f>
        <v>23632125</v>
      </c>
      <c r="J23" s="27">
        <f t="shared" si="3"/>
        <v>33980363.677500002</v>
      </c>
      <c r="K23" s="84"/>
      <c r="L23" s="27">
        <f>VLOOKUP($A23, 'Debt Service'!$DZ$145:$EB$181, 'Debt Service'!$EB$140, FALSE)</f>
        <v>6300000.0000000009</v>
      </c>
      <c r="M23" s="25">
        <f>'Loan Interest'!D23*Assumptions!J23</f>
        <v>6445125</v>
      </c>
      <c r="N23" s="27">
        <f>VLOOKUP($A23, Administration!$A$8:$D$45, Administration!$D$1, FALSE)</f>
        <v>409500</v>
      </c>
      <c r="O23" s="25">
        <f>VLOOKUP($A23, 'Debt Service'!$DZ$11:$EB$47, 'Debt Service'!$EB$6, FALSE)</f>
        <v>18388580.000000004</v>
      </c>
      <c r="P23" s="27">
        <f t="shared" si="4"/>
        <v>31543205.000000004</v>
      </c>
      <c r="Q23" s="27"/>
      <c r="R23" s="27">
        <f t="shared" si="5"/>
        <v>2437158.6774999984</v>
      </c>
      <c r="S23" s="27"/>
      <c r="T23" s="29"/>
    </row>
    <row r="24" spans="1:20">
      <c r="A24" s="18">
        <f>Assumptions!A24</f>
        <v>2040</v>
      </c>
      <c r="B24" s="24"/>
      <c r="C24" s="25">
        <f>VLOOKUP($A24,'Debt Service'!$DZ$81:$EB$117, 'Debt Service'!EB$76, FALSE)</f>
        <v>6352150</v>
      </c>
      <c r="D24" s="25">
        <f>VLOOKUP($A24, 'Debt Service'!$DZ$206:$EB$242, 'Debt Service'!$EB$201, FALSE)</f>
        <v>1260972</v>
      </c>
      <c r="E24" s="25">
        <f>VLOOKUP($A24, 'Recycling and Revenue earnings'!$A$10:$D$39, 'Recycling and Revenue earnings'!$D$1, FALSE)</f>
        <v>2335511.6775000002</v>
      </c>
      <c r="F24" s="25">
        <f>VLOOKUP($A24, 'Recycling and Revenue earnings'!$A$10:$H$47, 'Recycling and Revenue earnings'!$H$1, FALSE)</f>
        <v>350325</v>
      </c>
      <c r="G24" s="25">
        <f t="shared" si="6"/>
        <v>3946808.6775000002</v>
      </c>
      <c r="H24" s="25">
        <f>VLOOKUP($A24, 'Origination Fees'!$A$8:$D$46, 'Origination Fees'!$D$1, FALSE)</f>
        <v>48120</v>
      </c>
      <c r="I24" s="25">
        <f>VLOOKUP($A24, 'Loan Interest'!$A$8:$G$47, 'Loan Interest'!$G$1, FALSE)</f>
        <v>23632125</v>
      </c>
      <c r="J24" s="25">
        <f t="shared" si="3"/>
        <v>33979203.677500002</v>
      </c>
      <c r="K24" s="84"/>
      <c r="L24" s="25">
        <f>VLOOKUP($A24, 'Debt Service'!$DZ$145:$EB$181, 'Debt Service'!$EB$140, FALSE)</f>
        <v>6300000.0000000009</v>
      </c>
      <c r="M24" s="25">
        <f>'Loan Interest'!D24*Assumptions!J24</f>
        <v>6445125</v>
      </c>
      <c r="N24" s="25">
        <f>VLOOKUP($A24, Administration!$A$8:$D$45, Administration!$D$1, FALSE)</f>
        <v>409500</v>
      </c>
      <c r="O24" s="25">
        <f>VLOOKUP($A24, 'Debt Service'!$DZ$11:$EB$47, 'Debt Service'!$EB$6, FALSE)</f>
        <v>18388580.000000004</v>
      </c>
      <c r="P24" s="25">
        <f t="shared" si="4"/>
        <v>31543205.000000004</v>
      </c>
      <c r="Q24" s="25"/>
      <c r="R24" s="25">
        <f t="shared" si="5"/>
        <v>2435998.6774999984</v>
      </c>
      <c r="S24" s="25"/>
      <c r="T24" s="29"/>
    </row>
    <row r="25" spans="1:20">
      <c r="A25" s="18">
        <f>Assumptions!A25</f>
        <v>2041</v>
      </c>
      <c r="B25" s="24"/>
      <c r="C25" s="25">
        <f>VLOOKUP($A25,'Debt Service'!$DZ$81:$EB$117, 'Debt Service'!EB$76, FALSE)</f>
        <v>6352150</v>
      </c>
      <c r="D25" s="25">
        <f>VLOOKUP($A25, 'Debt Service'!$DZ$206:$EB$242, 'Debt Service'!$EB$201, FALSE)</f>
        <v>1260972</v>
      </c>
      <c r="E25" s="25">
        <f>VLOOKUP($A25, 'Recycling and Revenue earnings'!$A$10:$D$39, 'Recycling and Revenue earnings'!$D$1, FALSE)</f>
        <v>2378298.0375000001</v>
      </c>
      <c r="F25" s="25">
        <f>VLOOKUP($A25, 'Recycling and Revenue earnings'!$A$10:$H$47, 'Recycling and Revenue earnings'!$H$1, FALSE)</f>
        <v>350325</v>
      </c>
      <c r="G25" s="25">
        <f t="shared" si="6"/>
        <v>3989595.0375000001</v>
      </c>
      <c r="H25" s="25">
        <f>VLOOKUP($A25, 'Origination Fees'!$A$8:$D$46, 'Origination Fees'!$D$1, FALSE)</f>
        <v>45435</v>
      </c>
      <c r="I25" s="25">
        <f>VLOOKUP($A25, 'Loan Interest'!$A$8:$G$47, 'Loan Interest'!$G$1, FALSE)</f>
        <v>23581745</v>
      </c>
      <c r="J25" s="25">
        <f t="shared" si="3"/>
        <v>33968925.037500001</v>
      </c>
      <c r="K25" s="84"/>
      <c r="L25" s="25">
        <f>VLOOKUP($A25, 'Debt Service'!$DZ$145:$EB$181, 'Debt Service'!$EB$140, FALSE)</f>
        <v>6300000.0000000009</v>
      </c>
      <c r="M25" s="25">
        <f>'Loan Interest'!D25*Assumptions!J25</f>
        <v>6431385</v>
      </c>
      <c r="N25" s="25">
        <f>VLOOKUP($A25, Administration!$A$8:$D$45, Administration!$D$1, FALSE)</f>
        <v>409500</v>
      </c>
      <c r="O25" s="25">
        <f>VLOOKUP($A25, 'Debt Service'!$DZ$11:$EB$47, 'Debt Service'!$EB$6, FALSE)</f>
        <v>18388580.000000004</v>
      </c>
      <c r="P25" s="25">
        <f t="shared" si="4"/>
        <v>31529465.000000004</v>
      </c>
      <c r="Q25" s="25"/>
      <c r="R25" s="25">
        <f t="shared" si="5"/>
        <v>2439460.0374999978</v>
      </c>
      <c r="S25" s="25"/>
      <c r="T25" s="29"/>
    </row>
    <row r="26" spans="1:20">
      <c r="A26" s="18">
        <f>Assumptions!A26</f>
        <v>2042</v>
      </c>
      <c r="B26" s="24"/>
      <c r="C26" s="25">
        <f>VLOOKUP($A26,'Debt Service'!$DZ$81:$EB$117, 'Debt Service'!EB$76, FALSE)</f>
        <v>6352150</v>
      </c>
      <c r="D26" s="25">
        <f>VLOOKUP($A26, 'Debt Service'!$DZ$206:$EB$242, 'Debt Service'!$EB$201, FALSE)</f>
        <v>1193462</v>
      </c>
      <c r="E26" s="25">
        <f>VLOOKUP($A26, 'Recycling and Revenue earnings'!$A$10:$D$39, 'Recycling and Revenue earnings'!$D$1, FALSE)</f>
        <v>2290282.3253339496</v>
      </c>
      <c r="F26" s="25">
        <f>VLOOKUP($A26, 'Recycling and Revenue earnings'!$A$10:$H$47, 'Recycling and Revenue earnings'!$H$1, FALSE)</f>
        <v>331366.2943154705</v>
      </c>
      <c r="G26" s="25">
        <f t="shared" si="6"/>
        <v>3815110.61964942</v>
      </c>
      <c r="H26" s="25">
        <f>VLOOKUP($A26, 'Origination Fees'!$A$8:$D$46, 'Origination Fees'!$D$1, FALSE)</f>
        <v>0</v>
      </c>
      <c r="I26" s="25">
        <f>VLOOKUP($A26, 'Loan Interest'!$A$8:$G$47, 'Loan Interest'!$G$1, FALSE)</f>
        <v>22242440</v>
      </c>
      <c r="J26" s="25">
        <f t="shared" si="3"/>
        <v>32409700.619649421</v>
      </c>
      <c r="K26" s="84"/>
      <c r="L26" s="25">
        <f>VLOOKUP($A26, 'Debt Service'!$DZ$145:$EB$181, 'Debt Service'!$EB$140, FALSE)</f>
        <v>6300000.0000000009</v>
      </c>
      <c r="M26" s="25">
        <f>'Loan Interest'!D26*Assumptions!J26</f>
        <v>6066120</v>
      </c>
      <c r="N26" s="25">
        <f>VLOOKUP($A26, Administration!$A$8:$D$45, Administration!$D$1, FALSE)</f>
        <v>409500</v>
      </c>
      <c r="O26" s="25">
        <f>VLOOKUP($A26, 'Debt Service'!$DZ$11:$EB$47, 'Debt Service'!$EB$6, FALSE)</f>
        <v>17418580.000000004</v>
      </c>
      <c r="P26" s="25">
        <f t="shared" si="4"/>
        <v>30194200.000000004</v>
      </c>
      <c r="Q26" s="25"/>
      <c r="R26" s="25">
        <f t="shared" si="5"/>
        <v>2215500.6196494177</v>
      </c>
      <c r="S26" s="25"/>
      <c r="T26" s="29"/>
    </row>
    <row r="27" spans="1:20">
      <c r="A27" s="18">
        <f>Assumptions!A27</f>
        <v>2043</v>
      </c>
      <c r="B27" s="24"/>
      <c r="C27" s="25">
        <f>VLOOKUP($A27,'Debt Service'!$DZ$81:$EB$117, 'Debt Service'!EB$76, FALSE)</f>
        <v>6352150</v>
      </c>
      <c r="D27" s="25">
        <f>VLOOKUP($A27, 'Debt Service'!$DZ$206:$EB$242, 'Debt Service'!$EB$201, FALSE)</f>
        <v>1125952</v>
      </c>
      <c r="E27" s="25">
        <f>VLOOKUP($A27, 'Recycling and Revenue earnings'!$A$10:$D$39, 'Recycling and Revenue earnings'!$D$1, FALSE)</f>
        <v>2189678.25</v>
      </c>
      <c r="F27" s="25">
        <f>VLOOKUP($A27, 'Recycling and Revenue earnings'!$A$10:$H$47, 'Recycling and Revenue earnings'!$H$1, FALSE)</f>
        <v>322500</v>
      </c>
      <c r="G27" s="25">
        <f t="shared" si="6"/>
        <v>3638130.25</v>
      </c>
      <c r="H27" s="25">
        <f>VLOOKUP($A27, 'Origination Fees'!$A$8:$D$46, 'Origination Fees'!$D$1, FALSE)</f>
        <v>47185</v>
      </c>
      <c r="I27" s="25">
        <f>VLOOKUP($A27, 'Loan Interest'!$A$8:$G$47, 'Loan Interest'!$G$1, FALSE)</f>
        <v>21004087.5</v>
      </c>
      <c r="J27" s="25">
        <f t="shared" si="3"/>
        <v>31041552.75</v>
      </c>
      <c r="K27" s="84"/>
      <c r="L27" s="25">
        <f>VLOOKUP($A27, 'Debt Service'!$DZ$145:$EB$181, 'Debt Service'!$EB$140, FALSE)</f>
        <v>6300000.0000000009</v>
      </c>
      <c r="M27" s="25">
        <f>'Loan Interest'!D27*Assumptions!J27</f>
        <v>5728387.5</v>
      </c>
      <c r="N27" s="25">
        <f>VLOOKUP($A27, Administration!$A$8:$D$45, Administration!$D$1, FALSE)</f>
        <v>364500</v>
      </c>
      <c r="O27" s="25">
        <f>VLOOKUP($A27, 'Debt Service'!$DZ$11:$EB$47, 'Debt Service'!$EB$6, FALSE)</f>
        <v>16448580.000000002</v>
      </c>
      <c r="P27" s="25">
        <f t="shared" si="4"/>
        <v>28841467.5</v>
      </c>
      <c r="Q27" s="25"/>
      <c r="R27" s="25">
        <f t="shared" si="5"/>
        <v>2200085.25</v>
      </c>
      <c r="S27" s="25"/>
      <c r="T27" s="29"/>
    </row>
    <row r="28" spans="1:20">
      <c r="A28" s="18">
        <f>Assumptions!A28</f>
        <v>2044</v>
      </c>
      <c r="B28" s="24"/>
      <c r="C28" s="25">
        <f>VLOOKUP($A28,'Debt Service'!$DZ$81:$EB$117, 'Debt Service'!EB$76, FALSE)</f>
        <v>6352150</v>
      </c>
      <c r="D28" s="25">
        <f>VLOOKUP($A28, 'Debt Service'!$DZ$206:$EB$242, 'Debt Service'!$EB$201, FALSE)</f>
        <v>1125952</v>
      </c>
      <c r="E28" s="25">
        <f>VLOOKUP($A28, 'Recycling and Revenue earnings'!$A$10:$D$39, 'Recycling and Revenue earnings'!$D$1, FALSE)</f>
        <v>2150010.75</v>
      </c>
      <c r="F28" s="25">
        <f>VLOOKUP($A28, 'Recycling and Revenue earnings'!$A$10:$H$47, 'Recycling and Revenue earnings'!$H$1, FALSE)</f>
        <v>322500</v>
      </c>
      <c r="G28" s="25">
        <f t="shared" si="6"/>
        <v>3598462.75</v>
      </c>
      <c r="H28" s="25">
        <f>VLOOKUP($A28, 'Origination Fees'!$A$8:$D$46, 'Origination Fees'!$D$1, FALSE)</f>
        <v>46335</v>
      </c>
      <c r="I28" s="25">
        <f>VLOOKUP($A28, 'Loan Interest'!$A$8:$G$47, 'Loan Interest'!$G$1, FALSE)</f>
        <v>21054825</v>
      </c>
      <c r="J28" s="25">
        <f t="shared" si="3"/>
        <v>31051772.75</v>
      </c>
      <c r="K28" s="84"/>
      <c r="L28" s="25">
        <f>VLOOKUP($A28, 'Debt Service'!$DZ$145:$EB$181, 'Debt Service'!$EB$140, FALSE)</f>
        <v>6300000.0000000009</v>
      </c>
      <c r="M28" s="25">
        <f>'Loan Interest'!D28*Assumptions!J28</f>
        <v>5742225</v>
      </c>
      <c r="N28" s="25">
        <f>VLOOKUP($A28, Administration!$A$8:$D$45, Administration!$D$1, FALSE)</f>
        <v>364500</v>
      </c>
      <c r="O28" s="25">
        <f>VLOOKUP($A28, 'Debt Service'!$DZ$11:$EB$47, 'Debt Service'!$EB$6, FALSE)</f>
        <v>16448580.000000002</v>
      </c>
      <c r="P28" s="25">
        <f t="shared" si="4"/>
        <v>28855305</v>
      </c>
      <c r="Q28" s="25"/>
      <c r="R28" s="25">
        <f t="shared" si="5"/>
        <v>2196467.75</v>
      </c>
      <c r="S28" s="25"/>
      <c r="T28" s="29"/>
    </row>
    <row r="29" spans="1:20">
      <c r="A29" s="18">
        <f>Assumptions!A29</f>
        <v>2045</v>
      </c>
      <c r="B29" s="24"/>
      <c r="C29" s="25">
        <f>VLOOKUP($A29,'Debt Service'!$DZ$81:$EB$117, 'Debt Service'!EB$76, FALSE)</f>
        <v>6352150</v>
      </c>
      <c r="D29" s="25">
        <f>VLOOKUP($A29, 'Debt Service'!$DZ$206:$EB$242, 'Debt Service'!$EB$201, FALSE)</f>
        <v>1125952</v>
      </c>
      <c r="E29" s="25">
        <f>VLOOKUP($A29, 'Recycling and Revenue earnings'!$A$10:$D$39, 'Recycling and Revenue earnings'!$D$1, FALSE)</f>
        <v>2207243.75</v>
      </c>
      <c r="F29" s="25">
        <f>VLOOKUP($A29, 'Recycling and Revenue earnings'!$A$10:$H$47, 'Recycling and Revenue earnings'!$H$1, FALSE)</f>
        <v>322500</v>
      </c>
      <c r="G29" s="25">
        <f t="shared" si="6"/>
        <v>3655695.75</v>
      </c>
      <c r="H29" s="25">
        <f>VLOOKUP($A29, 'Origination Fees'!$A$8:$D$46, 'Origination Fees'!$D$1, FALSE)</f>
        <v>40980</v>
      </c>
      <c r="I29" s="25">
        <f>VLOOKUP($A29, 'Loan Interest'!$A$8:$G$47, 'Loan Interest'!$G$1, FALSE)</f>
        <v>20981620</v>
      </c>
      <c r="J29" s="25">
        <f t="shared" si="3"/>
        <v>31030445.75</v>
      </c>
      <c r="K29" s="84"/>
      <c r="L29" s="25">
        <f>VLOOKUP($A29, 'Debt Service'!$DZ$145:$EB$181, 'Debt Service'!$EB$140, FALSE)</f>
        <v>6300000.0000000009</v>
      </c>
      <c r="M29" s="25">
        <f>'Loan Interest'!D29*Assumptions!J29</f>
        <v>5722260</v>
      </c>
      <c r="N29" s="25">
        <f>VLOOKUP($A29, Administration!$A$8:$D$45, Administration!$D$1, FALSE)</f>
        <v>364500</v>
      </c>
      <c r="O29" s="25">
        <f>VLOOKUP($A29, 'Debt Service'!$DZ$11:$EB$47, 'Debt Service'!$EB$6, FALSE)</f>
        <v>16448580.000000002</v>
      </c>
      <c r="P29" s="25">
        <f t="shared" si="4"/>
        <v>28835340</v>
      </c>
      <c r="Q29" s="25"/>
      <c r="R29" s="25">
        <f t="shared" si="5"/>
        <v>2195105.75</v>
      </c>
      <c r="S29" s="25"/>
      <c r="T29" s="29"/>
    </row>
    <row r="30" spans="1:20">
      <c r="A30" s="18">
        <f>Assumptions!A30</f>
        <v>2046</v>
      </c>
      <c r="B30" s="24"/>
      <c r="C30" s="25">
        <f>VLOOKUP($A30,'Debt Service'!$DZ$81:$EB$117, 'Debt Service'!EB$76, FALSE)</f>
        <v>6352150</v>
      </c>
      <c r="D30" s="25">
        <f>VLOOKUP($A30, 'Debt Service'!$DZ$206:$EB$242, 'Debt Service'!$EB$201, FALSE)</f>
        <v>1125952</v>
      </c>
      <c r="E30" s="25">
        <f>VLOOKUP($A30, 'Recycling and Revenue earnings'!$A$10:$D$39, 'Recycling and Revenue earnings'!$D$1, FALSE)</f>
        <v>3125315.2500000005</v>
      </c>
      <c r="F30" s="25">
        <f>VLOOKUP($A30, 'Recycling and Revenue earnings'!$A$10:$H$47, 'Recycling and Revenue earnings'!$H$1, FALSE)</f>
        <v>322500</v>
      </c>
      <c r="G30" s="25">
        <f t="shared" si="6"/>
        <v>4573767.25</v>
      </c>
      <c r="H30" s="25">
        <f>VLOOKUP($A30, 'Origination Fees'!$A$8:$D$46, 'Origination Fees'!$D$1, FALSE)</f>
        <v>0</v>
      </c>
      <c r="I30" s="25">
        <f>VLOOKUP($A30, 'Loan Interest'!$A$8:$G$47, 'Loan Interest'!$G$1, FALSE)</f>
        <v>19807342.5</v>
      </c>
      <c r="J30" s="25">
        <f t="shared" si="3"/>
        <v>30733259.75</v>
      </c>
      <c r="K30" s="84"/>
      <c r="L30" s="25">
        <f>VLOOKUP($A30, 'Debt Service'!$DZ$145:$EB$181, 'Debt Service'!$EB$140, FALSE)</f>
        <v>6300000.0000000009</v>
      </c>
      <c r="M30" s="25">
        <f>'Loan Interest'!D30*Assumptions!J30</f>
        <v>5402002.5</v>
      </c>
      <c r="N30" s="25">
        <f>VLOOKUP($A30, Administration!$A$8:$D$45, Administration!$D$1, FALSE)</f>
        <v>364500</v>
      </c>
      <c r="O30" s="25">
        <f>VLOOKUP($A30, 'Debt Service'!$DZ$11:$EB$47, 'Debt Service'!$EB$6, FALSE)</f>
        <v>16448580.000000002</v>
      </c>
      <c r="P30" s="25">
        <f t="shared" si="4"/>
        <v>28515082.5</v>
      </c>
      <c r="Q30" s="25"/>
      <c r="R30" s="25">
        <f t="shared" si="5"/>
        <v>2218177.25</v>
      </c>
      <c r="S30" s="25"/>
      <c r="T30" s="29"/>
    </row>
    <row r="31" spans="1:20">
      <c r="A31" s="18">
        <f>Assumptions!A31</f>
        <v>2047</v>
      </c>
      <c r="B31" s="24"/>
      <c r="C31" s="25">
        <f>VLOOKUP($A31,'Debt Service'!$DZ$81:$EB$117, 'Debt Service'!EB$76, FALSE)</f>
        <v>6352150</v>
      </c>
      <c r="D31" s="25">
        <f>VLOOKUP($A31, 'Debt Service'!$DZ$206:$EB$242, 'Debt Service'!$EB$201, FALSE)</f>
        <v>1125952</v>
      </c>
      <c r="E31" s="25">
        <f>VLOOKUP($A31, 'Recycling and Revenue earnings'!$A$10:$D$39, 'Recycling and Revenue earnings'!$D$1, FALSE)</f>
        <v>4747146.25</v>
      </c>
      <c r="F31" s="25">
        <f>VLOOKUP($A31, 'Recycling and Revenue earnings'!$A$10:$H$47, 'Recycling and Revenue earnings'!$H$1, FALSE)</f>
        <v>322500</v>
      </c>
      <c r="G31" s="25">
        <f t="shared" si="6"/>
        <v>6195598.25</v>
      </c>
      <c r="H31" s="25">
        <f>VLOOKUP($A31, 'Origination Fees'!$A$8:$D$46, 'Origination Fees'!$D$1, FALSE)</f>
        <v>0</v>
      </c>
      <c r="I31" s="25">
        <f>VLOOKUP($A31, 'Loan Interest'!$A$8:$G$47, 'Loan Interest'!$G$1, FALSE)</f>
        <v>17732907.5</v>
      </c>
      <c r="J31" s="25">
        <f t="shared" si="3"/>
        <v>30280655.75</v>
      </c>
      <c r="K31" s="84"/>
      <c r="L31" s="25">
        <f>VLOOKUP($A31, 'Debt Service'!$DZ$145:$EB$181, 'Debt Service'!$EB$140, FALSE)</f>
        <v>6300000.0000000009</v>
      </c>
      <c r="M31" s="25">
        <f>'Loan Interest'!D31*Assumptions!J31</f>
        <v>4836247.5</v>
      </c>
      <c r="N31" s="25">
        <f>VLOOKUP($A31, Administration!$A$8:$D$45, Administration!$D$1, FALSE)</f>
        <v>364500</v>
      </c>
      <c r="O31" s="25">
        <f>VLOOKUP($A31, 'Debt Service'!$DZ$11:$EB$47, 'Debt Service'!$EB$6, FALSE)</f>
        <v>16448580.000000002</v>
      </c>
      <c r="P31" s="25">
        <f t="shared" si="4"/>
        <v>27949327.5</v>
      </c>
      <c r="Q31" s="25"/>
      <c r="R31" s="25">
        <f t="shared" si="5"/>
        <v>2331328.25</v>
      </c>
      <c r="S31" s="25"/>
      <c r="T31" s="29"/>
    </row>
    <row r="32" spans="1:20">
      <c r="A32" s="18">
        <f>Assumptions!A32</f>
        <v>2048</v>
      </c>
      <c r="B32" s="24"/>
      <c r="C32" s="25">
        <f>VLOOKUP($A32,'Debt Service'!$DZ$81:$EB$117, 'Debt Service'!EB$76, FALSE)</f>
        <v>4617950</v>
      </c>
      <c r="D32" s="25">
        <f>VLOOKUP($A32, 'Debt Service'!$DZ$206:$EB$242, 'Debt Service'!$EB$201, FALSE)</f>
        <v>1039301.5</v>
      </c>
      <c r="E32" s="25">
        <f>VLOOKUP($A32, 'Recycling and Revenue earnings'!$A$10:$D$39, 'Recycling and Revenue earnings'!$D$1, FALSE)</f>
        <v>4003568.7500000005</v>
      </c>
      <c r="F32" s="25">
        <f>VLOOKUP($A32, 'Recycling and Revenue earnings'!$A$10:$H$47, 'Recycling and Revenue earnings'!$H$1, FALSE)</f>
        <v>322500</v>
      </c>
      <c r="G32" s="25">
        <f t="shared" si="6"/>
        <v>5365370.25</v>
      </c>
      <c r="H32" s="25">
        <f>VLOOKUP($A32, 'Origination Fees'!$A$8:$D$46, 'Origination Fees'!$D$1, FALSE)</f>
        <v>0</v>
      </c>
      <c r="I32" s="25">
        <f>VLOOKUP($A32, 'Loan Interest'!$A$8:$G$47, 'Loan Interest'!$G$1, FALSE)</f>
        <v>15952750</v>
      </c>
      <c r="J32" s="25">
        <f t="shared" si="3"/>
        <v>25936070.25</v>
      </c>
      <c r="K32" s="84"/>
      <c r="L32" s="25">
        <f>VLOOKUP($A32, 'Debt Service'!$DZ$145:$EB$181, 'Debt Service'!$EB$140, FALSE)</f>
        <v>5381250</v>
      </c>
      <c r="M32" s="25">
        <f>'Loan Interest'!D32*Assumptions!J32</f>
        <v>4350750</v>
      </c>
      <c r="N32" s="25">
        <f>VLOOKUP($A32, Administration!$A$8:$D$45, Administration!$D$1, FALSE)</f>
        <v>364500</v>
      </c>
      <c r="O32" s="25">
        <f>VLOOKUP($A32, 'Debt Service'!$DZ$11:$EB$47, 'Debt Service'!$EB$6, FALSE)</f>
        <v>15280372.5</v>
      </c>
      <c r="P32" s="25">
        <f t="shared" si="4"/>
        <v>25376872.5</v>
      </c>
      <c r="Q32" s="25"/>
      <c r="R32" s="25">
        <f t="shared" si="5"/>
        <v>559197.75</v>
      </c>
      <c r="S32" s="25"/>
      <c r="T32" s="29"/>
    </row>
    <row r="33" spans="1:20">
      <c r="A33" s="18">
        <f>Assumptions!A33</f>
        <v>2049</v>
      </c>
      <c r="B33" s="24"/>
      <c r="C33" s="25">
        <f>VLOOKUP($A33,'Debt Service'!$DZ$81:$EB$117, 'Debt Service'!EB$76, FALSE)</f>
        <v>2883750</v>
      </c>
      <c r="D33" s="25">
        <f>VLOOKUP($A33, 'Debt Service'!$DZ$206:$EB$242, 'Debt Service'!$EB$201, FALSE)</f>
        <v>779350</v>
      </c>
      <c r="E33" s="25">
        <f>VLOOKUP($A33, 'Recycling and Revenue earnings'!$A$10:$D$39, 'Recycling and Revenue earnings'!$D$1, FALSE)</f>
        <v>2324461.75</v>
      </c>
      <c r="F33" s="25">
        <f>VLOOKUP($A33, 'Recycling and Revenue earnings'!$A$10:$H$47, 'Recycling and Revenue earnings'!$H$1, FALSE)</f>
        <v>322500</v>
      </c>
      <c r="G33" s="25">
        <f t="shared" si="6"/>
        <v>3426311.75</v>
      </c>
      <c r="H33" s="25">
        <f>VLOOKUP($A33, 'Origination Fees'!$A$8:$D$46, 'Origination Fees'!$D$1, FALSE)</f>
        <v>38845</v>
      </c>
      <c r="I33" s="25">
        <f>VLOOKUP($A33, 'Loan Interest'!$A$8:$G$47, 'Loan Interest'!$G$1, FALSE)</f>
        <v>15369200</v>
      </c>
      <c r="J33" s="25">
        <f t="shared" si="3"/>
        <v>21718106.75</v>
      </c>
      <c r="K33" s="84"/>
      <c r="L33" s="25">
        <f>VLOOKUP($A33, 'Debt Service'!$DZ$145:$EB$181, 'Debt Service'!$EB$140, FALSE)</f>
        <v>2625000.0000000005</v>
      </c>
      <c r="M33" s="25">
        <f>'Loan Interest'!D33*Assumptions!J33</f>
        <v>4191600</v>
      </c>
      <c r="N33" s="25">
        <f>VLOOKUP($A33, Administration!$A$8:$D$45, Administration!$D$1, FALSE)</f>
        <v>270000</v>
      </c>
      <c r="O33" s="25">
        <f>VLOOKUP($A33, 'Debt Service'!$DZ$11:$EB$47, 'Debt Service'!$EB$6, FALSE)</f>
        <v>11775750</v>
      </c>
      <c r="P33" s="25">
        <f t="shared" si="4"/>
        <v>18862350</v>
      </c>
      <c r="Q33" s="25"/>
      <c r="R33" s="25">
        <f t="shared" si="5"/>
        <v>2855756.75</v>
      </c>
      <c r="S33" s="25"/>
      <c r="T33" s="29"/>
    </row>
    <row r="34" spans="1:20">
      <c r="A34" s="18">
        <f>Assumptions!A34</f>
        <v>2050</v>
      </c>
      <c r="B34" s="24"/>
      <c r="C34" s="25">
        <f>VLOOKUP($A34,'Debt Service'!$DZ$81:$EB$117, 'Debt Service'!EB$76, FALSE)</f>
        <v>2883750</v>
      </c>
      <c r="D34" s="25">
        <f>VLOOKUP($A34, 'Debt Service'!$DZ$206:$EB$242, 'Debt Service'!$EB$201, FALSE)</f>
        <v>779350</v>
      </c>
      <c r="E34" s="25">
        <f>VLOOKUP($A34, 'Recycling and Revenue earnings'!$A$10:$D$39, 'Recycling and Revenue earnings'!$D$1, FALSE)</f>
        <v>2281569.25</v>
      </c>
      <c r="F34" s="25">
        <f>VLOOKUP($A34, 'Recycling and Revenue earnings'!$A$10:$H$47, 'Recycling and Revenue earnings'!$H$1, FALSE)</f>
        <v>322500</v>
      </c>
      <c r="G34" s="25">
        <f t="shared" si="6"/>
        <v>3383419.25</v>
      </c>
      <c r="H34" s="25">
        <f>VLOOKUP($A34, 'Origination Fees'!$A$8:$D$46, 'Origination Fees'!$D$1, FALSE)</f>
        <v>30235</v>
      </c>
      <c r="I34" s="25">
        <f>VLOOKUP($A34, 'Loan Interest'!$A$8:$G$47, 'Loan Interest'!$G$1, FALSE)</f>
        <v>15424062.5</v>
      </c>
      <c r="J34" s="25">
        <f t="shared" si="3"/>
        <v>21721466.75</v>
      </c>
      <c r="K34" s="84"/>
      <c r="L34" s="25">
        <f>VLOOKUP($A34, 'Debt Service'!$DZ$145:$EB$181, 'Debt Service'!$EB$140, FALSE)</f>
        <v>2625000.0000000005</v>
      </c>
      <c r="M34" s="25">
        <f>'Loan Interest'!D34*Assumptions!J34</f>
        <v>4206562.5</v>
      </c>
      <c r="N34" s="25">
        <f>VLOOKUP($A34, Administration!$A$8:$D$45, Administration!$D$1, FALSE)</f>
        <v>270000</v>
      </c>
      <c r="O34" s="25">
        <f>VLOOKUP($A34, 'Debt Service'!$DZ$11:$EB$47, 'Debt Service'!$EB$6, FALSE)</f>
        <v>11775750</v>
      </c>
      <c r="P34" s="25">
        <f t="shared" si="4"/>
        <v>18877312.5</v>
      </c>
      <c r="Q34" s="25"/>
      <c r="R34" s="25">
        <f t="shared" si="5"/>
        <v>2844154.25</v>
      </c>
      <c r="S34" s="25"/>
      <c r="T34" s="29"/>
    </row>
    <row r="35" spans="1:20">
      <c r="A35" s="18">
        <f>Assumptions!A35</f>
        <v>2051</v>
      </c>
      <c r="B35" s="24"/>
      <c r="C35" s="25">
        <f>VLOOKUP($A35,'Debt Service'!$DZ$81:$EB$117, 'Debt Service'!EB$76, FALSE)</f>
        <v>2883750</v>
      </c>
      <c r="D35" s="25">
        <f>VLOOKUP($A35, 'Debt Service'!$DZ$206:$EB$242, 'Debt Service'!$EB$201, FALSE)</f>
        <v>779350</v>
      </c>
      <c r="E35" s="25">
        <f>VLOOKUP($A35, 'Recycling and Revenue earnings'!$A$10:$D$39, 'Recycling and Revenue earnings'!$D$1, FALSE)</f>
        <v>3187622.2500000005</v>
      </c>
      <c r="F35" s="25">
        <f>VLOOKUP($A35, 'Recycling and Revenue earnings'!$A$10:$H$47, 'Recycling and Revenue earnings'!$H$1, FALSE)</f>
        <v>322500</v>
      </c>
      <c r="G35" s="25">
        <f t="shared" si="6"/>
        <v>4289472.25</v>
      </c>
      <c r="H35" s="25">
        <f>VLOOKUP($A35, 'Origination Fees'!$A$8:$D$46, 'Origination Fees'!$D$1, FALSE)</f>
        <v>0</v>
      </c>
      <c r="I35" s="25">
        <f>VLOOKUP($A35, 'Loan Interest'!$A$8:$G$50, 'Loan Interest'!$G$1, FALSE)</f>
        <v>14265157.5</v>
      </c>
      <c r="J35" s="25">
        <f t="shared" si="3"/>
        <v>21438379.75</v>
      </c>
      <c r="K35" s="84"/>
      <c r="L35" s="25">
        <f>VLOOKUP($A35, 'Debt Service'!$DZ$145:$EB$181, 'Debt Service'!$EB$140, FALSE)</f>
        <v>2625000.0000000005</v>
      </c>
      <c r="M35" s="25">
        <f>'Loan Interest'!D35*Assumptions!J35</f>
        <v>3890497.5</v>
      </c>
      <c r="N35" s="25">
        <f>VLOOKUP($A35, Administration!$A$8:$D$45, Administration!$D$1, FALSE)</f>
        <v>270000</v>
      </c>
      <c r="O35" s="25">
        <f>VLOOKUP($A35, 'Debt Service'!$DZ$11:$EB$47, 'Debt Service'!$EB$6, FALSE)</f>
        <v>11775750</v>
      </c>
      <c r="P35" s="25">
        <f t="shared" si="4"/>
        <v>18561247.5</v>
      </c>
      <c r="Q35" s="25"/>
      <c r="R35" s="25">
        <f t="shared" si="5"/>
        <v>2877132.25</v>
      </c>
      <c r="S35" s="25"/>
      <c r="T35" s="29"/>
    </row>
    <row r="36" spans="1:20">
      <c r="A36" s="18">
        <f>Assumptions!A36</f>
        <v>2052</v>
      </c>
      <c r="B36" s="24"/>
      <c r="C36" s="25">
        <f>VLOOKUP($A36,'Debt Service'!$DZ$81:$EB$117, 'Debt Service'!EB$76, FALSE)</f>
        <v>2883750</v>
      </c>
      <c r="D36" s="25">
        <f>VLOOKUP($A36, 'Debt Service'!$DZ$206:$EB$242, 'Debt Service'!$EB$201, FALSE)</f>
        <v>624760.75</v>
      </c>
      <c r="E36" s="25">
        <f>VLOOKUP($A36, 'Recycling and Revenue earnings'!$A$10:$D$47, 'Recycling and Revenue earnings'!$D$1, FALSE)</f>
        <v>3221850.2500000005</v>
      </c>
      <c r="F36" s="25">
        <f>VLOOKUP($A36, 'Recycling and Revenue earnings'!$A$10:$H$47, 'Recycling and Revenue earnings'!$H$1, FALSE)</f>
        <v>322500</v>
      </c>
      <c r="G36" s="25">
        <f t="shared" si="6"/>
        <v>4169111.0000000005</v>
      </c>
      <c r="H36" s="25">
        <f>VLOOKUP($A36, 'Origination Fees'!$A$8:$D$46, 'Origination Fees'!$D$1, FALSE)</f>
        <v>0</v>
      </c>
      <c r="I36" s="25">
        <f>VLOOKUP($A36, 'Loan Interest'!$A$8:$G$50, 'Loan Interest'!$G$1, FALSE)</f>
        <v>12251800</v>
      </c>
      <c r="J36" s="25">
        <f t="shared" si="3"/>
        <v>19304661</v>
      </c>
      <c r="K36" s="84"/>
      <c r="L36" s="25">
        <f>VLOOKUP($A36, 'Debt Service'!$DZ$145:$EB$181, 'Debt Service'!$EB$140, FALSE)</f>
        <v>2625000.0000000005</v>
      </c>
      <c r="M36" s="25">
        <f>'Loan Interest'!D36*Assumptions!J36</f>
        <v>3341400</v>
      </c>
      <c r="N36" s="25">
        <f>VLOOKUP($A36, Administration!$A$8:$D$45, Administration!$D$1, FALSE)</f>
        <v>270000</v>
      </c>
      <c r="O36" s="25">
        <f>VLOOKUP($A36, 'Debt Service'!$DZ$11:$EB$47, 'Debt Service'!$EB$6, FALSE)</f>
        <v>9593250</v>
      </c>
      <c r="P36" s="25">
        <f t="shared" si="4"/>
        <v>15829650</v>
      </c>
      <c r="Q36" s="25"/>
      <c r="R36" s="25">
        <f t="shared" si="5"/>
        <v>3475011</v>
      </c>
      <c r="S36" s="25"/>
      <c r="T36" s="29"/>
    </row>
    <row r="37" spans="1:20">
      <c r="A37" s="18">
        <f>Assumptions!A37</f>
        <v>2053</v>
      </c>
      <c r="B37" s="24"/>
      <c r="C37" s="25">
        <f>VLOOKUP($A37,'Debt Service'!$DZ$81:$EB$117, 'Debt Service'!EB$76, FALSE)</f>
        <v>2883750</v>
      </c>
      <c r="D37" s="25">
        <f>VLOOKUP($A37, 'Debt Service'!$DZ$206:$EB$242, 'Debt Service'!$EB$201, FALSE)</f>
        <v>573231</v>
      </c>
      <c r="E37" s="25">
        <f>VLOOKUP($A37, 'Recycling and Revenue earnings'!$A$10:$D$47, 'Recycling and Revenue earnings'!$D$1, FALSE)</f>
        <v>3313225.2500000005</v>
      </c>
      <c r="F37" s="25">
        <f>VLOOKUP($A37, 'Recycling and Revenue earnings'!$A$10:$H$47, 'Recycling and Revenue earnings'!$H$1, FALSE)</f>
        <v>322500</v>
      </c>
      <c r="G37" s="25">
        <f t="shared" si="6"/>
        <v>4208956.25</v>
      </c>
      <c r="H37" s="25">
        <f>VLOOKUP($A37, 'Origination Fees'!$A$8:$D$46, 'Origination Fees'!$D$1, FALSE)</f>
        <v>0</v>
      </c>
      <c r="I37" s="25">
        <f>VLOOKUP($A37, 'Loan Interest'!$A$8:$G$50, 'Loan Interest'!$G$1, FALSE)</f>
        <v>10165347.5</v>
      </c>
      <c r="J37" s="25">
        <f t="shared" si="3"/>
        <v>17258053.75</v>
      </c>
      <c r="K37" s="84"/>
      <c r="L37" s="25">
        <f>VLOOKUP($A37, 'Debt Service'!$DZ$145:$EB$181, 'Debt Service'!$EB$140, FALSE)</f>
        <v>2625000.0000000005</v>
      </c>
      <c r="M37" s="25">
        <f>'Loan Interest'!D37*Assumptions!J37</f>
        <v>2772367.5</v>
      </c>
      <c r="N37" s="25">
        <f>VLOOKUP($A37, Administration!$A$8:$D$45, Administration!$D$1, FALSE)</f>
        <v>202500</v>
      </c>
      <c r="O37" s="25">
        <f>VLOOKUP($A37, 'Debt Service'!$DZ$11:$EB$47, 'Debt Service'!$EB$6, FALSE)</f>
        <v>8865750</v>
      </c>
      <c r="P37" s="25">
        <f t="shared" si="4"/>
        <v>14465617.5</v>
      </c>
      <c r="Q37" s="25"/>
      <c r="R37" s="25">
        <f t="shared" si="5"/>
        <v>2792436.25</v>
      </c>
      <c r="S37" s="25"/>
      <c r="T37" s="29"/>
    </row>
    <row r="38" spans="1:20">
      <c r="A38" s="18">
        <f>Assumptions!A38</f>
        <v>2054</v>
      </c>
      <c r="B38" s="24"/>
      <c r="C38" s="25">
        <f>VLOOKUP($A38,'Debt Service'!$DZ$81:$EB$117, 'Debt Service'!EB$76, FALSE)</f>
        <v>2883750</v>
      </c>
      <c r="D38" s="25">
        <f>VLOOKUP($A38, 'Debt Service'!$DZ$206:$EB$242, 'Debt Service'!$EB$201, FALSE)</f>
        <v>573231</v>
      </c>
      <c r="E38" s="25">
        <f>VLOOKUP($A38, 'Recycling and Revenue earnings'!$A$10:$D$47, 'Recycling and Revenue earnings'!$D$1, FALSE)</f>
        <v>5019142.75</v>
      </c>
      <c r="F38" s="25">
        <f>VLOOKUP($A38, 'Recycling and Revenue earnings'!$A$10:$H$47, 'Recycling and Revenue earnings'!$H$1, FALSE)</f>
        <v>322500</v>
      </c>
      <c r="G38" s="25">
        <f t="shared" si="6"/>
        <v>5914873.75</v>
      </c>
      <c r="H38" s="25">
        <f>VLOOKUP($A38, 'Origination Fees'!$A$8:$D$46, 'Origination Fees'!$D$1, FALSE)</f>
        <v>0</v>
      </c>
      <c r="I38" s="25">
        <f>VLOOKUP($A38, 'Loan Interest'!$A$8:$G$50, 'Loan Interest'!$G$1, FALSE)</f>
        <v>7983360</v>
      </c>
      <c r="J38" s="25">
        <f t="shared" si="3"/>
        <v>16781983.75</v>
      </c>
      <c r="K38" s="84"/>
      <c r="L38" s="25">
        <f>VLOOKUP($A38, 'Debt Service'!$DZ$145:$EB$181, 'Debt Service'!$EB$140, FALSE)</f>
        <v>2625000.0000000005</v>
      </c>
      <c r="M38" s="25">
        <f>'Loan Interest'!D38*Assumptions!J38</f>
        <v>2177280</v>
      </c>
      <c r="N38" s="25">
        <f>VLOOKUP($A38, Administration!$A$8:$D$45, Administration!$D$1, FALSE)</f>
        <v>202500</v>
      </c>
      <c r="O38" s="25">
        <f>VLOOKUP($A38, 'Debt Service'!$DZ$11:$EB$47, 'Debt Service'!$EB$6, FALSE)</f>
        <v>8865750</v>
      </c>
      <c r="P38" s="25">
        <f t="shared" si="4"/>
        <v>13870530</v>
      </c>
      <c r="Q38" s="25"/>
      <c r="R38" s="25">
        <f t="shared" si="5"/>
        <v>2911453.75</v>
      </c>
      <c r="S38" s="25"/>
      <c r="T38" s="29"/>
    </row>
    <row r="39" spans="1:20">
      <c r="A39" s="18">
        <f>Assumptions!A39</f>
        <v>2055</v>
      </c>
      <c r="B39" s="24"/>
      <c r="C39" s="25">
        <f>VLOOKUP($A39,'Debt Service'!$DZ$81:$EB$117, 'Debt Service'!EB$76, FALSE)</f>
        <v>2883750</v>
      </c>
      <c r="D39" s="25">
        <f>VLOOKUP($A39, 'Debt Service'!$DZ$206:$EB$242, 'Debt Service'!$EB$201, FALSE)</f>
        <v>557005.1333333333</v>
      </c>
      <c r="E39" s="25">
        <f>VLOOKUP($A39, 'Recycling and Revenue earnings'!$A$10:$D$47, 'Recycling and Revenue earnings'!$D$1, FALSE)</f>
        <v>5233540.75</v>
      </c>
      <c r="F39" s="25">
        <f>VLOOKUP($A39, 'Recycling and Revenue earnings'!$A$10:$H$47, 'Recycling and Revenue earnings'!$H$1, FALSE)</f>
        <v>322500</v>
      </c>
      <c r="G39" s="25">
        <f t="shared" ref="G39:G44" si="7">SUM(D39:F39)</f>
        <v>6113045.8833333328</v>
      </c>
      <c r="H39" s="25">
        <f>VLOOKUP($A39, 'Origination Fees'!$A$8:$D$46, 'Origination Fees'!$D$1, FALSE)</f>
        <v>0</v>
      </c>
      <c r="I39" s="25">
        <f>VLOOKUP($A39, 'Loan Interest'!$A$8:$G$50, 'Loan Interest'!$G$1, FALSE)</f>
        <v>5740900</v>
      </c>
      <c r="J39" s="25">
        <f t="shared" ref="J39:J44" si="8">C39+SUM(G39:I39)</f>
        <v>14737695.883333333</v>
      </c>
      <c r="K39" s="84"/>
      <c r="L39" s="25">
        <f>VLOOKUP($A39, 'Debt Service'!$DZ$145:$EB$181, 'Debt Service'!$EB$140, FALSE)</f>
        <v>2625000.0000000005</v>
      </c>
      <c r="M39" s="25">
        <f>'Loan Interest'!D39*Assumptions!J39</f>
        <v>1565700</v>
      </c>
      <c r="N39" s="25">
        <f>VLOOKUP($A39, Administration!$A$8:$D$45, Administration!$D$1, FALSE)</f>
        <v>202500</v>
      </c>
      <c r="O39" s="25">
        <f>VLOOKUP($A39, 'Debt Service'!$DZ$11:$EB$47, 'Debt Service'!$EB$6, FALSE)</f>
        <v>8623250</v>
      </c>
      <c r="P39" s="25">
        <f t="shared" si="4"/>
        <v>13016450</v>
      </c>
      <c r="Q39" s="25"/>
      <c r="R39" s="25">
        <f t="shared" si="5"/>
        <v>1721245.8833333328</v>
      </c>
      <c r="S39" s="25"/>
      <c r="T39" s="29"/>
    </row>
    <row r="40" spans="1:20">
      <c r="A40" s="18">
        <f>Assumptions!A40</f>
        <v>2056</v>
      </c>
      <c r="B40" s="24"/>
      <c r="C40" s="25">
        <f>VLOOKUP($A40,'Debt Service'!$DZ$81:$EB$117, 'Debt Service'!EB$76, FALSE)</f>
        <v>2883750</v>
      </c>
      <c r="D40" s="25">
        <f>VLOOKUP($A40, 'Debt Service'!$DZ$206:$EB$242, 'Debt Service'!$EB$201, FALSE)</f>
        <v>378520.6</v>
      </c>
      <c r="E40" s="25">
        <f>VLOOKUP($A40, 'Recycling and Revenue earnings'!$A$10:$D$47, 'Recycling and Revenue earnings'!$D$1, FALSE)</f>
        <v>5497539.25</v>
      </c>
      <c r="F40" s="25">
        <f>VLOOKUP($A40, 'Recycling and Revenue earnings'!$A$10:$H$47, 'Recycling and Revenue earnings'!$H$1, FALSE)</f>
        <v>322500</v>
      </c>
      <c r="G40" s="25">
        <f t="shared" si="7"/>
        <v>6198559.8499999996</v>
      </c>
      <c r="H40" s="25">
        <f>VLOOKUP($A40, 'Origination Fees'!$A$8:$D$46, 'Origination Fees'!$D$1, FALSE)</f>
        <v>0</v>
      </c>
      <c r="I40" s="25">
        <f>VLOOKUP($A40, 'Loan Interest'!$A$8:$G$50, 'Loan Interest'!$G$1, FALSE)</f>
        <v>3434997.5</v>
      </c>
      <c r="J40" s="25">
        <f t="shared" si="8"/>
        <v>12517307.35</v>
      </c>
      <c r="K40" s="84"/>
      <c r="L40" s="25">
        <f>VLOOKUP($A40, 'Debt Service'!$DZ$145:$EB$181, 'Debt Service'!$EB$140, FALSE)</f>
        <v>2625000.0000000005</v>
      </c>
      <c r="M40" s="25">
        <f>'Loan Interest'!D40*Assumptions!J40</f>
        <v>936817.5</v>
      </c>
      <c r="N40" s="25">
        <f>VLOOKUP($A40, Administration!$A$8:$D$45, Administration!$D$1, FALSE)</f>
        <v>150000</v>
      </c>
      <c r="O40" s="25">
        <f>VLOOKUP($A40, 'Debt Service'!$DZ$11:$EB$47, 'Debt Service'!$EB$6, FALSE)</f>
        <v>5955750</v>
      </c>
      <c r="P40" s="25">
        <f t="shared" ref="P40:P44" si="9">SUM(L40:O40)</f>
        <v>9667567.5</v>
      </c>
      <c r="Q40" s="25"/>
      <c r="R40" s="25">
        <f t="shared" ref="R40:R44" si="10">J40-P40</f>
        <v>2849739.8499999996</v>
      </c>
      <c r="S40" s="25"/>
      <c r="T40" s="29"/>
    </row>
    <row r="41" spans="1:20">
      <c r="A41" s="18">
        <f>Assumptions!A41</f>
        <v>2057</v>
      </c>
      <c r="B41" s="24"/>
      <c r="C41" s="25">
        <f>VLOOKUP($A41,'Debt Service'!$DZ$81:$EB$117, 'Debt Service'!EB$76, FALSE)</f>
        <v>720937.5</v>
      </c>
      <c r="D41" s="25">
        <f>VLOOKUP($A41, 'Debt Service'!$DZ$206:$EB$242, 'Debt Service'!$EB$201, FALSE)</f>
        <v>94630.15</v>
      </c>
      <c r="E41" s="25">
        <f>VLOOKUP($A41, 'Recycling and Revenue earnings'!$A$10:$D$47, 'Recycling and Revenue earnings'!$D$1, FALSE)</f>
        <v>4215365.25</v>
      </c>
      <c r="F41" s="25">
        <f>VLOOKUP($A41, 'Recycling and Revenue earnings'!$A$10:$H$47, 'Recycling and Revenue earnings'!$H$1, FALSE)</f>
        <v>322500</v>
      </c>
      <c r="G41" s="25">
        <f t="shared" si="7"/>
        <v>4632495.4000000004</v>
      </c>
      <c r="H41" s="25">
        <f>VLOOKUP($A41, 'Origination Fees'!$A$8:$D$46, 'Origination Fees'!$D$1, FALSE)</f>
        <v>0</v>
      </c>
      <c r="I41" s="25">
        <f>VLOOKUP($A41, 'Loan Interest'!$A$8:$G$50, 'Loan Interest'!$G$1, FALSE)</f>
        <v>1126647.5</v>
      </c>
      <c r="J41" s="25">
        <f t="shared" si="8"/>
        <v>6480080.4000000004</v>
      </c>
      <c r="K41" s="84"/>
      <c r="L41" s="25">
        <f>VLOOKUP($A41, 'Debt Service'!$DZ$145:$EB$181, 'Debt Service'!$EB$140, FALSE)</f>
        <v>656250.00000000012</v>
      </c>
      <c r="M41" s="25">
        <f>'Loan Interest'!D41*Assumptions!J41</f>
        <v>307267.5</v>
      </c>
      <c r="N41" s="25">
        <f>VLOOKUP($A41, Administration!$A$8:$D$45, Administration!$D$1, FALSE)</f>
        <v>150000</v>
      </c>
      <c r="O41" s="25">
        <f>VLOOKUP($A41, 'Debt Service'!$DZ$11:$EB$47, 'Debt Service'!$EB$6, FALSE)</f>
        <v>1488937.5</v>
      </c>
      <c r="P41" s="25">
        <f t="shared" si="9"/>
        <v>2602455</v>
      </c>
      <c r="Q41" s="25"/>
      <c r="R41" s="25">
        <f t="shared" si="10"/>
        <v>3877625.4000000004</v>
      </c>
      <c r="S41" s="25"/>
      <c r="T41" s="29"/>
    </row>
    <row r="42" spans="1:20">
      <c r="A42" s="18">
        <f>Assumptions!A42</f>
        <v>2058</v>
      </c>
      <c r="B42" s="24"/>
      <c r="C42" s="25">
        <f>VLOOKUP($A42,'Debt Service'!$DZ$81:$EB$117, 'Debt Service'!EB$76, FALSE)</f>
        <v>0</v>
      </c>
      <c r="D42" s="25">
        <f>VLOOKUP($A42, 'Debt Service'!$DZ$206:$EB$242, 'Debt Service'!$EB$201, FALSE)</f>
        <v>0</v>
      </c>
      <c r="E42" s="25">
        <f>VLOOKUP($A42, 'Recycling and Revenue earnings'!$A$10:$D$47, 'Recycling and Revenue earnings'!$D$1, FALSE)</f>
        <v>0</v>
      </c>
      <c r="F42" s="25">
        <f>VLOOKUP($A42, 'Recycling and Revenue earnings'!$A$10:$H$47, 'Recycling and Revenue earnings'!$H$1, FALSE)</f>
        <v>0</v>
      </c>
      <c r="G42" s="25">
        <f t="shared" si="7"/>
        <v>0</v>
      </c>
      <c r="H42" s="25">
        <f>VLOOKUP($A42, 'Origination Fees'!$A$8:$D$46, 'Origination Fees'!$D$1, FALSE)</f>
        <v>0</v>
      </c>
      <c r="I42" s="25">
        <f>VLOOKUP($A42, 'Loan Interest'!$A$8:$G$50, 'Loan Interest'!$G$1, FALSE)</f>
        <v>0</v>
      </c>
      <c r="J42" s="25">
        <f t="shared" si="8"/>
        <v>0</v>
      </c>
      <c r="K42" s="84"/>
      <c r="L42" s="25">
        <f>VLOOKUP($A42, 'Debt Service'!$DZ$145:$EB$181, 'Debt Service'!$EB$140, FALSE)</f>
        <v>0</v>
      </c>
      <c r="M42" s="25">
        <f>'Loan Interest'!D42*Assumptions!J42</f>
        <v>0</v>
      </c>
      <c r="N42" s="25">
        <f>VLOOKUP($A42, Administration!$A$8:$D$45, Administration!$D$1, FALSE)</f>
        <v>0</v>
      </c>
      <c r="O42" s="25">
        <f>VLOOKUP($A42, 'Debt Service'!$DZ$11:$EB$47, 'Debt Service'!$EB$6, FALSE)</f>
        <v>0</v>
      </c>
      <c r="P42" s="25">
        <f t="shared" si="9"/>
        <v>0</v>
      </c>
      <c r="Q42" s="25"/>
      <c r="R42" s="25">
        <f t="shared" si="10"/>
        <v>0</v>
      </c>
      <c r="S42" s="25"/>
      <c r="T42" s="29"/>
    </row>
    <row r="43" spans="1:20">
      <c r="A43" s="18">
        <f>Assumptions!A43</f>
        <v>2059</v>
      </c>
      <c r="B43" s="18"/>
      <c r="C43" s="25">
        <f>VLOOKUP($A43,'Debt Service'!$DZ$81:$EB$117, 'Debt Service'!EB$76, FALSE)</f>
        <v>0</v>
      </c>
      <c r="D43" s="25">
        <f>VLOOKUP($A43, 'Debt Service'!$DZ$206:$EB$242, 'Debt Service'!$EB$201, FALSE)</f>
        <v>0</v>
      </c>
      <c r="E43" s="25">
        <f>VLOOKUP($A43, 'Recycling and Revenue earnings'!$A$10:$D$47, 'Recycling and Revenue earnings'!$D$1, FALSE)</f>
        <v>0</v>
      </c>
      <c r="F43" s="25">
        <f>VLOOKUP($A43, 'Recycling and Revenue earnings'!$A$10:$H$47, 'Recycling and Revenue earnings'!$H$1, FALSE)</f>
        <v>0</v>
      </c>
      <c r="G43" s="25">
        <f t="shared" si="7"/>
        <v>0</v>
      </c>
      <c r="H43" s="25">
        <f>VLOOKUP($A43, 'Origination Fees'!$A$8:$D$46, 'Origination Fees'!$D$1, FALSE)</f>
        <v>0</v>
      </c>
      <c r="I43" s="25">
        <f>VLOOKUP($A43, 'Loan Interest'!$A$8:$G$50, 'Loan Interest'!$G$1, FALSE)</f>
        <v>0</v>
      </c>
      <c r="J43" s="25">
        <f t="shared" si="8"/>
        <v>0</v>
      </c>
      <c r="K43" s="84"/>
      <c r="L43" s="25">
        <f>VLOOKUP($A43, 'Debt Service'!$DZ$145:$EB$181, 'Debt Service'!$EB$140, FALSE)</f>
        <v>0</v>
      </c>
      <c r="M43" s="25">
        <f>'Loan Interest'!D43*Assumptions!J43</f>
        <v>0</v>
      </c>
      <c r="N43" s="25">
        <f>VLOOKUP($A43, Administration!$A$8:$D$45, Administration!$D$1, FALSE)</f>
        <v>0</v>
      </c>
      <c r="O43" s="25">
        <f>VLOOKUP($A43, 'Debt Service'!$DZ$11:$EB$47, 'Debt Service'!$EB$6, FALSE)</f>
        <v>0</v>
      </c>
      <c r="P43" s="25">
        <f t="shared" si="9"/>
        <v>0</v>
      </c>
      <c r="Q43" s="25"/>
      <c r="R43" s="25">
        <f t="shared" si="10"/>
        <v>0</v>
      </c>
      <c r="S43" s="25"/>
      <c r="T43" s="29"/>
    </row>
    <row r="44" spans="1:20">
      <c r="A44" s="18">
        <f>Assumptions!A44</f>
        <v>2060</v>
      </c>
      <c r="B44" s="18"/>
      <c r="C44" s="25">
        <f>VLOOKUP($A44,'Debt Service'!$DZ$81:$EB$117, 'Debt Service'!EB$76, FALSE)</f>
        <v>0</v>
      </c>
      <c r="D44" s="25">
        <f>VLOOKUP($A44, 'Debt Service'!$DZ$206:$EB$242, 'Debt Service'!$EB$201, FALSE)</f>
        <v>0</v>
      </c>
      <c r="E44" s="25">
        <f>VLOOKUP($A44, 'Recycling and Revenue earnings'!$A$10:$D$47, 'Recycling and Revenue earnings'!$D$1, FALSE)</f>
        <v>0</v>
      </c>
      <c r="F44" s="25">
        <f>VLOOKUP($A44, 'Recycling and Revenue earnings'!$A$10:$H$47, 'Recycling and Revenue earnings'!$H$1, FALSE)</f>
        <v>0</v>
      </c>
      <c r="G44" s="25">
        <f t="shared" si="7"/>
        <v>0</v>
      </c>
      <c r="H44" s="25">
        <f>VLOOKUP($A44, 'Origination Fees'!$A$8:$D$46, 'Origination Fees'!$D$1, FALSE)</f>
        <v>0</v>
      </c>
      <c r="I44" s="25">
        <f>VLOOKUP($A44, 'Loan Interest'!$A$8:$G$50, 'Loan Interest'!$G$1, FALSE)</f>
        <v>0</v>
      </c>
      <c r="J44" s="25">
        <f t="shared" si="8"/>
        <v>0</v>
      </c>
      <c r="K44" s="84"/>
      <c r="L44" s="25">
        <f>VLOOKUP($A44, 'Debt Service'!$DZ$145:$EB$181, 'Debt Service'!$EB$140, FALSE)</f>
        <v>0</v>
      </c>
      <c r="M44" s="25">
        <f>'Loan Interest'!D44*Assumptions!J44</f>
        <v>0</v>
      </c>
      <c r="N44" s="25">
        <f>VLOOKUP($A44, Administration!$A$8:$D$45, Administration!$D$1, FALSE)</f>
        <v>0</v>
      </c>
      <c r="O44" s="25">
        <f>VLOOKUP($A44, 'Debt Service'!$DZ$11:$EB$47, 'Debt Service'!$EB$6, FALSE)</f>
        <v>0</v>
      </c>
      <c r="P44" s="25">
        <f t="shared" si="9"/>
        <v>0</v>
      </c>
      <c r="Q44" s="25"/>
      <c r="R44" s="25">
        <f t="shared" si="10"/>
        <v>0</v>
      </c>
      <c r="S44" s="25"/>
      <c r="T44" s="29"/>
    </row>
    <row r="45" spans="1:20" ht="13" customHeight="1">
      <c r="A45" s="18"/>
      <c r="B45" s="18"/>
      <c r="C45" s="25"/>
      <c r="D45" s="25"/>
      <c r="E45" s="25"/>
      <c r="F45" s="25"/>
      <c r="G45" s="25"/>
      <c r="H45" s="25"/>
      <c r="I45" s="25"/>
      <c r="J45" s="25"/>
      <c r="K45" s="84"/>
      <c r="L45" s="25"/>
      <c r="M45" s="25"/>
      <c r="N45" s="25"/>
      <c r="O45" s="25"/>
      <c r="P45" s="25"/>
      <c r="Q45" s="25"/>
      <c r="R45" s="25"/>
      <c r="S45" s="25"/>
      <c r="T45" s="29"/>
    </row>
    <row r="46" spans="1:20" ht="16">
      <c r="A46" s="18"/>
      <c r="B46" s="18"/>
      <c r="C46" s="30"/>
      <c r="D46" s="25"/>
      <c r="E46" s="25"/>
      <c r="F46" s="25"/>
      <c r="G46" s="25"/>
      <c r="H46" s="25"/>
      <c r="I46" s="25"/>
      <c r="J46" s="25"/>
      <c r="K46" s="30"/>
      <c r="L46" s="25"/>
      <c r="M46" s="30"/>
      <c r="N46" s="30"/>
      <c r="O46" s="30"/>
      <c r="P46" s="30"/>
      <c r="Q46" s="30"/>
      <c r="R46" s="30"/>
      <c r="S46" s="25"/>
      <c r="T46" s="29"/>
    </row>
    <row r="47" spans="1:20" ht="16">
      <c r="A47" s="18" t="s">
        <v>7</v>
      </c>
      <c r="B47" s="18"/>
      <c r="C47" s="13">
        <f t="shared" ref="C47:J47" si="11">SUM(C8:C46)</f>
        <v>363659339.55000007</v>
      </c>
      <c r="D47" s="13">
        <f t="shared" si="11"/>
        <v>55367410.683333337</v>
      </c>
      <c r="E47" s="13">
        <f t="shared" si="11"/>
        <v>120580365.61983395</v>
      </c>
      <c r="F47" s="13">
        <f t="shared" si="11"/>
        <v>11646841.29431547</v>
      </c>
      <c r="G47" s="13">
        <f t="shared" si="11"/>
        <v>187594617.59748274</v>
      </c>
      <c r="H47" s="13">
        <f t="shared" si="11"/>
        <v>832105</v>
      </c>
      <c r="I47" s="13">
        <f t="shared" si="11"/>
        <v>872929422.75</v>
      </c>
      <c r="J47" s="13">
        <f t="shared" si="11"/>
        <v>1425015484.8974829</v>
      </c>
      <c r="K47" s="13"/>
      <c r="L47" s="13">
        <f>SUM(L8:L46)</f>
        <v>357915155.14666671</v>
      </c>
      <c r="M47" s="13">
        <f>SUM(M8:M46)</f>
        <v>238071660.75</v>
      </c>
      <c r="N47" s="13">
        <f>SUM(N8:N46)</f>
        <v>16696438.5</v>
      </c>
      <c r="O47" s="13">
        <f>SUM(O8:O46)</f>
        <v>741689825</v>
      </c>
      <c r="P47" s="13">
        <f>SUM(P8:P46)</f>
        <v>1354373079.3966668</v>
      </c>
      <c r="Q47" s="13"/>
      <c r="R47" s="13">
        <f>SUM(R8:R46)</f>
        <v>70642405.500816062</v>
      </c>
      <c r="S47" s="13"/>
    </row>
    <row r="48" spans="1:20">
      <c r="A48" s="18"/>
      <c r="B48" s="18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3:19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25"/>
    </row>
    <row r="50" spans="3:19"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3:19"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3:19"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3:19">
      <c r="C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3:19">
      <c r="C54" s="29"/>
      <c r="G54" s="29"/>
      <c r="H54" s="29"/>
      <c r="I54" s="29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3:19"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3:19"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3:19"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3:19"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3:19"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3:19"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3:19">
      <c r="G61" s="84"/>
      <c r="J61" s="29"/>
    </row>
  </sheetData>
  <mergeCells count="3">
    <mergeCell ref="D4:F4"/>
    <mergeCell ref="A2:R2"/>
    <mergeCell ref="A3:R3"/>
  </mergeCells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1" sqref="A41:XFD41"/>
    </sheetView>
  </sheetViews>
  <sheetFormatPr baseColWidth="10" defaultRowHeight="13" outlineLevelCol="1"/>
  <cols>
    <col min="2" max="3" width="14.6640625" bestFit="1" customWidth="1" outlineLevel="1"/>
    <col min="4" max="4" width="14.6640625" bestFit="1" customWidth="1"/>
    <col min="5" max="5" width="10.33203125" bestFit="1" customWidth="1"/>
    <col min="6" max="6" width="10.33203125" customWidth="1"/>
    <col min="7" max="7" width="14.6640625" bestFit="1" customWidth="1"/>
    <col min="9" max="11" width="13.6640625" bestFit="1" customWidth="1"/>
  </cols>
  <sheetData>
    <row r="1" spans="1:11">
      <c r="A1" s="10">
        <v>1</v>
      </c>
      <c r="B1" s="10">
        <f>A1+1</f>
        <v>2</v>
      </c>
      <c r="C1" s="10">
        <f>B1+1</f>
        <v>3</v>
      </c>
      <c r="D1" s="10">
        <f>C1+1</f>
        <v>4</v>
      </c>
      <c r="E1" s="10">
        <f t="shared" ref="E1" si="0">D1+1</f>
        <v>5</v>
      </c>
      <c r="F1" s="10">
        <f t="shared" ref="F1" si="1">E1+1</f>
        <v>6</v>
      </c>
      <c r="G1" s="10">
        <f t="shared" ref="G1" si="2">F1+1</f>
        <v>7</v>
      </c>
    </row>
    <row r="2" spans="1:11" ht="14">
      <c r="A2" s="266" t="s">
        <v>0</v>
      </c>
      <c r="B2" s="266"/>
      <c r="C2" s="266"/>
      <c r="D2" s="266"/>
      <c r="E2" s="266"/>
      <c r="F2" s="266"/>
      <c r="G2" s="266"/>
    </row>
    <row r="3" spans="1:11" ht="14">
      <c r="A3" s="266" t="s">
        <v>76</v>
      </c>
      <c r="B3" s="266"/>
      <c r="C3" s="266"/>
      <c r="D3" s="266"/>
      <c r="E3" s="266"/>
      <c r="F3" s="266"/>
      <c r="G3" s="266"/>
    </row>
    <row r="5" spans="1:11">
      <c r="A5" s="1"/>
      <c r="B5" s="1" t="s">
        <v>61</v>
      </c>
      <c r="C5" s="1" t="s">
        <v>61</v>
      </c>
      <c r="D5" s="1" t="s">
        <v>42</v>
      </c>
      <c r="E5" s="1" t="s">
        <v>44</v>
      </c>
      <c r="F5" s="1" t="s">
        <v>132</v>
      </c>
      <c r="G5" s="1" t="s">
        <v>44</v>
      </c>
      <c r="H5" s="1"/>
    </row>
    <row r="6" spans="1:11">
      <c r="A6" s="12" t="s">
        <v>4</v>
      </c>
      <c r="B6" s="12" t="s">
        <v>40</v>
      </c>
      <c r="C6" s="12" t="s">
        <v>41</v>
      </c>
      <c r="D6" s="12" t="s">
        <v>61</v>
      </c>
      <c r="E6" s="12" t="s">
        <v>12</v>
      </c>
      <c r="F6" s="12" t="s">
        <v>12</v>
      </c>
      <c r="G6" s="12" t="s">
        <v>5</v>
      </c>
      <c r="H6" s="12"/>
    </row>
    <row r="8" spans="1:11">
      <c r="A8" s="18">
        <f>Assumptions!A8</f>
        <v>2024</v>
      </c>
      <c r="B8" s="15">
        <f>HLOOKUP($A8-1, 'Loan Origination'!$B$8:$AM$49, 'Loan Origination'!$AP$49, FALSE)</f>
        <v>975138300</v>
      </c>
      <c r="C8" s="15">
        <f>HLOOKUP($A8, 'Loan Origination'!$B$8:$AM$49, 'Loan Origination'!$AP$49, FALSE)</f>
        <v>958899600</v>
      </c>
      <c r="D8" s="15">
        <f t="shared" ref="D8:D36" si="3">SUM(B8:C8)/2</f>
        <v>967018950</v>
      </c>
      <c r="E8" s="19">
        <f>VLOOKUP($A8, Assumptions!$A$8:$P$44, Assumptions!$P$1, FALSE)</f>
        <v>5.5E-2</v>
      </c>
      <c r="F8" s="120">
        <f>HLOOKUP($A8, 'Loan Origination'!$B$56:$AM$61, 'Loan Origination'!$AP$61, FALSE)</f>
        <v>1</v>
      </c>
      <c r="G8" s="15">
        <f>E8*D8*F8</f>
        <v>53186042.25</v>
      </c>
      <c r="I8" s="123"/>
      <c r="J8" s="123"/>
      <c r="K8" s="123"/>
    </row>
    <row r="9" spans="1:11">
      <c r="A9" s="18">
        <f>Assumptions!A9</f>
        <v>2025</v>
      </c>
      <c r="B9" s="15">
        <f>HLOOKUP($A9-1, 'Loan Origination'!$B$8:$AM$49, 'Loan Origination'!$AP$49, FALSE)</f>
        <v>958899600</v>
      </c>
      <c r="C9" s="15">
        <f>HLOOKUP($A9, 'Loan Origination'!$B$8:$AM$49, 'Loan Origination'!$AP$49, FALSE)</f>
        <v>940708700</v>
      </c>
      <c r="D9" s="15">
        <f t="shared" si="3"/>
        <v>949804150</v>
      </c>
      <c r="E9" s="19">
        <f>VLOOKUP($A9, Assumptions!$A$8:$P$44, Assumptions!$P$1, FALSE)</f>
        <v>5.5E-2</v>
      </c>
      <c r="F9" s="120">
        <f>HLOOKUP($A9, 'Loan Origination'!$B$56:$AM$61, 'Loan Origination'!$AP$61, FALSE)</f>
        <v>1</v>
      </c>
      <c r="G9" s="15">
        <f t="shared" ref="G9:G44" si="4">E9*D9*F9</f>
        <v>52239228.25</v>
      </c>
    </row>
    <row r="10" spans="1:11">
      <c r="A10" s="18">
        <f>Assumptions!A10</f>
        <v>2026</v>
      </c>
      <c r="B10" s="15">
        <f>HLOOKUP($A10-1, 'Loan Origination'!$B$8:$AM$49, 'Loan Origination'!$AP$49, FALSE)</f>
        <v>940708700</v>
      </c>
      <c r="C10" s="15">
        <f>HLOOKUP($A10, 'Loan Origination'!$B$8:$AM$49, 'Loan Origination'!$AP$49, FALSE)</f>
        <v>929770600</v>
      </c>
      <c r="D10" s="15">
        <f t="shared" si="3"/>
        <v>935239650</v>
      </c>
      <c r="E10" s="19">
        <f>VLOOKUP($A10, Assumptions!$A$8:$P$44, Assumptions!$P$1, FALSE)</f>
        <v>5.5E-2</v>
      </c>
      <c r="F10" s="120">
        <f>HLOOKUP($A10, 'Loan Origination'!$B$56:$AM$61, 'Loan Origination'!$AP$61, FALSE)</f>
        <v>1</v>
      </c>
      <c r="G10" s="15">
        <f t="shared" si="4"/>
        <v>51438180.75</v>
      </c>
    </row>
    <row r="11" spans="1:11">
      <c r="A11" s="18">
        <f>Assumptions!A11</f>
        <v>2027</v>
      </c>
      <c r="B11" s="15">
        <f>HLOOKUP($A11-1, 'Loan Origination'!$B$8:$AM$49, 'Loan Origination'!$AP$49, FALSE)</f>
        <v>929770600</v>
      </c>
      <c r="C11" s="15">
        <f>HLOOKUP($A11, 'Loan Origination'!$B$8:$AM$49, 'Loan Origination'!$AP$49, FALSE)</f>
        <v>893709300</v>
      </c>
      <c r="D11" s="15">
        <f t="shared" si="3"/>
        <v>911739950</v>
      </c>
      <c r="E11" s="19">
        <f>VLOOKUP($A11, Assumptions!$A$8:$P$44, Assumptions!$P$1, FALSE)</f>
        <v>5.5E-2</v>
      </c>
      <c r="F11" s="120">
        <f>HLOOKUP($A11, 'Loan Origination'!$B$56:$AM$61, 'Loan Origination'!$AP$61, FALSE)</f>
        <v>1</v>
      </c>
      <c r="G11" s="15">
        <f t="shared" si="4"/>
        <v>50145697.25</v>
      </c>
    </row>
    <row r="12" spans="1:11">
      <c r="A12" s="18">
        <f>Assumptions!A12</f>
        <v>2028</v>
      </c>
      <c r="B12" s="15">
        <f>HLOOKUP($A12-1, 'Loan Origination'!$B$8:$AM$49, 'Loan Origination'!$AP$49, FALSE)</f>
        <v>893709300</v>
      </c>
      <c r="C12" s="15">
        <f>HLOOKUP($A12, 'Loan Origination'!$B$8:$AM$49, 'Loan Origination'!$AP$49, FALSE)</f>
        <v>808768700</v>
      </c>
      <c r="D12" s="15">
        <f t="shared" si="3"/>
        <v>851239000</v>
      </c>
      <c r="E12" s="19">
        <f>VLOOKUP($A12, Assumptions!$A$8:$P$44, Assumptions!$P$1, FALSE)</f>
        <v>5.5E-2</v>
      </c>
      <c r="F12" s="120">
        <f>HLOOKUP($A12, 'Loan Origination'!$B$56:$AM$61, 'Loan Origination'!$AP$61, FALSE)</f>
        <v>1</v>
      </c>
      <c r="G12" s="15">
        <f t="shared" si="4"/>
        <v>46818145</v>
      </c>
    </row>
    <row r="13" spans="1:11">
      <c r="A13" s="18">
        <f>Assumptions!A13</f>
        <v>2029</v>
      </c>
      <c r="B13" s="15">
        <f>HLOOKUP($A13-1, 'Loan Origination'!$B$8:$AM$49, 'Loan Origination'!$AP$49, FALSE)</f>
        <v>808768700</v>
      </c>
      <c r="C13" s="15">
        <f>HLOOKUP($A13, 'Loan Origination'!$B$8:$AM$49, 'Loan Origination'!$AP$49, FALSE)</f>
        <v>743016000</v>
      </c>
      <c r="D13" s="15">
        <f t="shared" si="3"/>
        <v>775892350</v>
      </c>
      <c r="E13" s="19">
        <f>VLOOKUP($A13, Assumptions!$A$8:$P$44, Assumptions!$P$1, FALSE)</f>
        <v>5.5E-2</v>
      </c>
      <c r="F13" s="120">
        <f>HLOOKUP($A13, 'Loan Origination'!$B$56:$AM$61, 'Loan Origination'!$AP$61, FALSE)</f>
        <v>1</v>
      </c>
      <c r="G13" s="15">
        <f t="shared" si="4"/>
        <v>42674079.25</v>
      </c>
    </row>
    <row r="14" spans="1:11">
      <c r="A14" s="18">
        <f>Assumptions!A14</f>
        <v>2030</v>
      </c>
      <c r="B14" s="15">
        <f>HLOOKUP($A14-1, 'Loan Origination'!$B$8:$AM$49, 'Loan Origination'!$AP$49, FALSE)</f>
        <v>743016000</v>
      </c>
      <c r="C14" s="15">
        <f>HLOOKUP($A14, 'Loan Origination'!$B$8:$AM$49, 'Loan Origination'!$AP$49, FALSE)</f>
        <v>741554000</v>
      </c>
      <c r="D14" s="15">
        <f t="shared" si="3"/>
        <v>742285000</v>
      </c>
      <c r="E14" s="19">
        <f>VLOOKUP($A14, Assumptions!$A$8:$P$44, Assumptions!$P$1, FALSE)</f>
        <v>5.5E-2</v>
      </c>
      <c r="F14" s="120">
        <f>HLOOKUP($A14, 'Loan Origination'!$B$56:$AM$61, 'Loan Origination'!$AP$61, FALSE)</f>
        <v>1</v>
      </c>
      <c r="G14" s="15">
        <f t="shared" si="4"/>
        <v>40825675</v>
      </c>
    </row>
    <row r="15" spans="1:11">
      <c r="A15" s="18">
        <f>Assumptions!A15</f>
        <v>2031</v>
      </c>
      <c r="B15" s="15">
        <f>HLOOKUP($A15-1, 'Loan Origination'!$B$8:$AM$49, 'Loan Origination'!$AP$49, FALSE)</f>
        <v>741554000</v>
      </c>
      <c r="C15" s="15">
        <f>HLOOKUP($A15, 'Loan Origination'!$B$8:$AM$49, 'Loan Origination'!$AP$49, FALSE)</f>
        <v>678771000</v>
      </c>
      <c r="D15" s="15">
        <f t="shared" si="3"/>
        <v>710162500</v>
      </c>
      <c r="E15" s="19">
        <f>VLOOKUP($A15, Assumptions!$A$8:$P$44, Assumptions!$P$1, FALSE)</f>
        <v>5.5E-2</v>
      </c>
      <c r="F15" s="120">
        <f>HLOOKUP($A15, 'Loan Origination'!$B$56:$AM$61, 'Loan Origination'!$AP$61, FALSE)</f>
        <v>1</v>
      </c>
      <c r="G15" s="15">
        <f t="shared" si="4"/>
        <v>39058937.5</v>
      </c>
    </row>
    <row r="16" spans="1:11">
      <c r="A16" s="18">
        <f>Assumptions!A16</f>
        <v>2032</v>
      </c>
      <c r="B16" s="15">
        <f>HLOOKUP($A16-1, 'Loan Origination'!$B$8:$AM$49, 'Loan Origination'!$AP$49, FALSE)</f>
        <v>678771000</v>
      </c>
      <c r="C16" s="15">
        <f>HLOOKUP($A16, 'Loan Origination'!$B$8:$AM$49, 'Loan Origination'!$AP$49, FALSE)</f>
        <v>618332000</v>
      </c>
      <c r="D16" s="15">
        <f t="shared" si="3"/>
        <v>648551500</v>
      </c>
      <c r="E16" s="19">
        <f>VLOOKUP($A16, Assumptions!$A$8:$P$44, Assumptions!$P$1, FALSE)</f>
        <v>5.5E-2</v>
      </c>
      <c r="F16" s="120">
        <f>HLOOKUP($A16, 'Loan Origination'!$B$56:$AM$61, 'Loan Origination'!$AP$61, FALSE)</f>
        <v>1</v>
      </c>
      <c r="G16" s="15">
        <f t="shared" si="4"/>
        <v>35670332.5</v>
      </c>
    </row>
    <row r="17" spans="1:7">
      <c r="A17" s="18">
        <f>Assumptions!A17</f>
        <v>2033</v>
      </c>
      <c r="B17" s="15">
        <f>HLOOKUP($A17-1, 'Loan Origination'!$B$8:$AM$49, 'Loan Origination'!$AP$49, FALSE)</f>
        <v>618332000</v>
      </c>
      <c r="C17" s="15">
        <f>HLOOKUP($A17, 'Loan Origination'!$B$8:$AM$49, 'Loan Origination'!$AP$49, FALSE)</f>
        <v>563221000</v>
      </c>
      <c r="D17" s="15">
        <f t="shared" si="3"/>
        <v>590776500</v>
      </c>
      <c r="E17" s="19">
        <f>VLOOKUP($A17, Assumptions!$A$8:$P$44, Assumptions!$P$1, FALSE)</f>
        <v>5.5E-2</v>
      </c>
      <c r="F17" s="120">
        <f>HLOOKUP($A17, 'Loan Origination'!$B$56:$AM$61, 'Loan Origination'!$AP$61, FALSE)</f>
        <v>1</v>
      </c>
      <c r="G17" s="15">
        <f t="shared" si="4"/>
        <v>32492707.5</v>
      </c>
    </row>
    <row r="18" spans="1:7">
      <c r="A18" s="18">
        <f>Assumptions!A18</f>
        <v>2034</v>
      </c>
      <c r="B18" s="15">
        <f>HLOOKUP($A18-1, 'Loan Origination'!$B$8:$AM$49, 'Loan Origination'!$AP$49, FALSE)</f>
        <v>563221000</v>
      </c>
      <c r="C18" s="15">
        <f>HLOOKUP($A18, 'Loan Origination'!$B$8:$AM$49, 'Loan Origination'!$AP$49, FALSE)</f>
        <v>533400000</v>
      </c>
      <c r="D18" s="15">
        <f t="shared" si="3"/>
        <v>548310500</v>
      </c>
      <c r="E18" s="19">
        <f>VLOOKUP($A18, Assumptions!$A$8:$P$44, Assumptions!$P$1, FALSE)</f>
        <v>5.5E-2</v>
      </c>
      <c r="F18" s="120">
        <f>HLOOKUP($A18, 'Loan Origination'!$B$56:$AM$61, 'Loan Origination'!$AP$61, FALSE)</f>
        <v>1</v>
      </c>
      <c r="G18" s="15">
        <f t="shared" si="4"/>
        <v>30157077.5</v>
      </c>
    </row>
    <row r="19" spans="1:7">
      <c r="A19" s="18">
        <f>Assumptions!A19</f>
        <v>2035</v>
      </c>
      <c r="B19" s="15">
        <f>HLOOKUP($A19-1, 'Loan Origination'!$B$8:$AM$49, 'Loan Origination'!$AP$49, FALSE)</f>
        <v>533400000</v>
      </c>
      <c r="C19" s="15">
        <f>HLOOKUP($A19, 'Loan Origination'!$B$8:$AM$49, 'Loan Origination'!$AP$49, FALSE)</f>
        <v>480058000</v>
      </c>
      <c r="D19" s="15">
        <f t="shared" si="3"/>
        <v>506729000</v>
      </c>
      <c r="E19" s="19">
        <f>VLOOKUP($A19, Assumptions!$A$8:$P$44, Assumptions!$P$1, FALSE)</f>
        <v>5.5E-2</v>
      </c>
      <c r="F19" s="120">
        <f>HLOOKUP($A19, 'Loan Origination'!$B$56:$AM$61, 'Loan Origination'!$AP$61, FALSE)</f>
        <v>1</v>
      </c>
      <c r="G19" s="15">
        <f t="shared" si="4"/>
        <v>27870095</v>
      </c>
    </row>
    <row r="20" spans="1:7">
      <c r="A20" s="18">
        <f>Assumptions!A20</f>
        <v>2036</v>
      </c>
      <c r="B20" s="15">
        <f>HLOOKUP($A20-1, 'Loan Origination'!$B$8:$AM$49, 'Loan Origination'!$AP$49, FALSE)</f>
        <v>480058000</v>
      </c>
      <c r="C20" s="15">
        <f>HLOOKUP($A20, 'Loan Origination'!$B$8:$AM$49, 'Loan Origination'!$AP$49, FALSE)</f>
        <v>479983000</v>
      </c>
      <c r="D20" s="15">
        <f t="shared" si="3"/>
        <v>480020500</v>
      </c>
      <c r="E20" s="19">
        <f>VLOOKUP($A20, Assumptions!$A$8:$P$44, Assumptions!$P$1, FALSE)</f>
        <v>5.5E-2</v>
      </c>
      <c r="F20" s="120">
        <f>HLOOKUP($A20, 'Loan Origination'!$B$56:$AM$61, 'Loan Origination'!$AP$61, FALSE)</f>
        <v>1</v>
      </c>
      <c r="G20" s="15">
        <f t="shared" si="4"/>
        <v>26401127.5</v>
      </c>
    </row>
    <row r="21" spans="1:7">
      <c r="A21" s="18">
        <f>Assumptions!A21</f>
        <v>2037</v>
      </c>
      <c r="B21" s="15">
        <f>HLOOKUP($A21-1, 'Loan Origination'!$B$8:$AM$49, 'Loan Origination'!$AP$49, FALSE)</f>
        <v>479983000</v>
      </c>
      <c r="C21" s="15">
        <f>HLOOKUP($A21, 'Loan Origination'!$B$8:$AM$49, 'Loan Origination'!$AP$49, FALSE)</f>
        <v>428238000</v>
      </c>
      <c r="D21" s="15">
        <f t="shared" si="3"/>
        <v>454110500</v>
      </c>
      <c r="E21" s="19">
        <f>VLOOKUP($A21, Assumptions!$A$8:$P$44, Assumptions!$P$1, FALSE)</f>
        <v>5.5E-2</v>
      </c>
      <c r="F21" s="120">
        <f>HLOOKUP($A21, 'Loan Origination'!$B$56:$AM$61, 'Loan Origination'!$AP$61, FALSE)</f>
        <v>1</v>
      </c>
      <c r="G21" s="15">
        <f t="shared" si="4"/>
        <v>24976077.5</v>
      </c>
    </row>
    <row r="22" spans="1:7">
      <c r="A22" s="18">
        <f>Assumptions!A22</f>
        <v>2038</v>
      </c>
      <c r="B22" s="15">
        <f>HLOOKUP($A22-1, 'Loan Origination'!$B$8:$AM$49, 'Loan Origination'!$AP$49, FALSE)</f>
        <v>428238000</v>
      </c>
      <c r="C22" s="15">
        <f>HLOOKUP($A22, 'Loan Origination'!$B$8:$AM$49, 'Loan Origination'!$AP$49, FALSE)</f>
        <v>429674000</v>
      </c>
      <c r="D22" s="15">
        <f t="shared" si="3"/>
        <v>428956000</v>
      </c>
      <c r="E22" s="19">
        <f>VLOOKUP($A22, Assumptions!$A$8:$P$44, Assumptions!$P$1, FALSE)</f>
        <v>5.5E-2</v>
      </c>
      <c r="F22" s="120">
        <f>HLOOKUP($A22, 'Loan Origination'!$B$56:$AM$61, 'Loan Origination'!$AP$61, FALSE)</f>
        <v>1</v>
      </c>
      <c r="G22" s="15">
        <f t="shared" si="4"/>
        <v>23592580</v>
      </c>
    </row>
    <row r="23" spans="1:7">
      <c r="A23" s="18">
        <f>Assumptions!A23</f>
        <v>2039</v>
      </c>
      <c r="B23" s="15">
        <f>HLOOKUP($A23-1, 'Loan Origination'!$B$8:$AM$49, 'Loan Origination'!$AP$49, FALSE)</f>
        <v>429674000</v>
      </c>
      <c r="C23" s="15">
        <f>HLOOKUP($A23, 'Loan Origination'!$B$8:$AM$49, 'Loan Origination'!$AP$49, FALSE)</f>
        <v>429676000</v>
      </c>
      <c r="D23" s="15">
        <f t="shared" si="3"/>
        <v>429675000</v>
      </c>
      <c r="E23" s="19">
        <f>VLOOKUP($A23, Assumptions!$A$8:$P$44, Assumptions!$P$1, FALSE)</f>
        <v>5.5E-2</v>
      </c>
      <c r="F23" s="120">
        <f>HLOOKUP($A23, 'Loan Origination'!$B$56:$AM$61, 'Loan Origination'!$AP$61, FALSE)</f>
        <v>1</v>
      </c>
      <c r="G23" s="15">
        <f t="shared" si="4"/>
        <v>23632125</v>
      </c>
    </row>
    <row r="24" spans="1:7">
      <c r="A24" s="18">
        <f>Assumptions!A24</f>
        <v>2040</v>
      </c>
      <c r="B24" s="15">
        <f>HLOOKUP($A24-1, 'Loan Origination'!$B$8:$AM$49, 'Loan Origination'!$AP$49, FALSE)</f>
        <v>429676000</v>
      </c>
      <c r="C24" s="15">
        <f>HLOOKUP($A24, 'Loan Origination'!$B$8:$AM$49, 'Loan Origination'!$AP$49, FALSE)</f>
        <v>429674000</v>
      </c>
      <c r="D24" s="15">
        <f t="shared" si="3"/>
        <v>429675000</v>
      </c>
      <c r="E24" s="19">
        <f>VLOOKUP($A24, Assumptions!$A$8:$P$44, Assumptions!$P$1, FALSE)</f>
        <v>5.5E-2</v>
      </c>
      <c r="F24" s="120">
        <f>HLOOKUP($A24, 'Loan Origination'!$B$56:$AM$61, 'Loan Origination'!$AP$61, FALSE)</f>
        <v>1</v>
      </c>
      <c r="G24" s="15">
        <f t="shared" si="4"/>
        <v>23632125</v>
      </c>
    </row>
    <row r="25" spans="1:7">
      <c r="A25" s="18">
        <f>Assumptions!A25</f>
        <v>2041</v>
      </c>
      <c r="B25" s="15">
        <f>HLOOKUP($A25-1, 'Loan Origination'!$B$8:$AM$49, 'Loan Origination'!$AP$49, FALSE)</f>
        <v>429674000</v>
      </c>
      <c r="C25" s="15">
        <f>HLOOKUP($A25, 'Loan Origination'!$B$8:$AM$49, 'Loan Origination'!$AP$49, FALSE)</f>
        <v>427844000</v>
      </c>
      <c r="D25" s="15">
        <f t="shared" si="3"/>
        <v>428759000</v>
      </c>
      <c r="E25" s="19">
        <f>VLOOKUP($A25, Assumptions!$A$8:$P$44, Assumptions!$P$1, FALSE)</f>
        <v>5.5E-2</v>
      </c>
      <c r="F25" s="120">
        <f>HLOOKUP($A25, 'Loan Origination'!$B$56:$AM$61, 'Loan Origination'!$AP$61, FALSE)</f>
        <v>1</v>
      </c>
      <c r="G25" s="15">
        <f t="shared" si="4"/>
        <v>23581745</v>
      </c>
    </row>
    <row r="26" spans="1:7">
      <c r="A26" s="18">
        <f>Assumptions!A26</f>
        <v>2042</v>
      </c>
      <c r="B26" s="15">
        <f>HLOOKUP($A26-1, 'Loan Origination'!$B$8:$AM$49, 'Loan Origination'!$AP$49, FALSE)</f>
        <v>427844000</v>
      </c>
      <c r="C26" s="15">
        <f>HLOOKUP($A26, 'Loan Origination'!$B$8:$AM$49, 'Loan Origination'!$AP$49, FALSE)</f>
        <v>380972000</v>
      </c>
      <c r="D26" s="15">
        <f t="shared" si="3"/>
        <v>404408000</v>
      </c>
      <c r="E26" s="19">
        <f>VLOOKUP($A26, Assumptions!$A$8:$P$44, Assumptions!$P$1, FALSE)</f>
        <v>5.5E-2</v>
      </c>
      <c r="F26" s="120">
        <f>HLOOKUP($A26, 'Loan Origination'!$B$56:$AM$61, 'Loan Origination'!$AP$61, FALSE)</f>
        <v>1</v>
      </c>
      <c r="G26" s="15">
        <f t="shared" si="4"/>
        <v>22242440</v>
      </c>
    </row>
    <row r="27" spans="1:7">
      <c r="A27" s="18">
        <f>Assumptions!A27</f>
        <v>2043</v>
      </c>
      <c r="B27" s="15">
        <f>HLOOKUP($A27-1, 'Loan Origination'!$B$8:$AM$49, 'Loan Origination'!$AP$49, FALSE)</f>
        <v>380972000</v>
      </c>
      <c r="C27" s="15">
        <f>HLOOKUP($A27, 'Loan Origination'!$B$8:$AM$49, 'Loan Origination'!$AP$49, FALSE)</f>
        <v>382813000</v>
      </c>
      <c r="D27" s="15">
        <f t="shared" si="3"/>
        <v>381892500</v>
      </c>
      <c r="E27" s="19">
        <f>VLOOKUP($A27, Assumptions!$A$8:$P$44, Assumptions!$P$1, FALSE)</f>
        <v>5.5E-2</v>
      </c>
      <c r="F27" s="120">
        <f>HLOOKUP($A27, 'Loan Origination'!$B$56:$AM$61, 'Loan Origination'!$AP$61, FALSE)</f>
        <v>1</v>
      </c>
      <c r="G27" s="15">
        <f t="shared" si="4"/>
        <v>21004087.5</v>
      </c>
    </row>
    <row r="28" spans="1:7">
      <c r="A28" s="18">
        <f>Assumptions!A28</f>
        <v>2044</v>
      </c>
      <c r="B28" s="15">
        <f>HLOOKUP($A28-1, 'Loan Origination'!$B$8:$AM$49, 'Loan Origination'!$AP$49, FALSE)</f>
        <v>382813000</v>
      </c>
      <c r="C28" s="15">
        <f>HLOOKUP($A28, 'Loan Origination'!$B$8:$AM$49, 'Loan Origination'!$AP$49, FALSE)</f>
        <v>382817000</v>
      </c>
      <c r="D28" s="15">
        <f t="shared" si="3"/>
        <v>382815000</v>
      </c>
      <c r="E28" s="19">
        <f>VLOOKUP($A28, Assumptions!$A$8:$P$44, Assumptions!$P$1, FALSE)</f>
        <v>5.5E-2</v>
      </c>
      <c r="F28" s="120">
        <f>HLOOKUP($A28, 'Loan Origination'!$B$56:$AM$61, 'Loan Origination'!$AP$61, FALSE)</f>
        <v>1</v>
      </c>
      <c r="G28" s="15">
        <f t="shared" si="4"/>
        <v>21054825</v>
      </c>
    </row>
    <row r="29" spans="1:7">
      <c r="A29" s="18">
        <f>Assumptions!A29</f>
        <v>2045</v>
      </c>
      <c r="B29" s="15">
        <f>HLOOKUP($A29-1, 'Loan Origination'!$B$8:$AM$49, 'Loan Origination'!$AP$49, FALSE)</f>
        <v>382817000</v>
      </c>
      <c r="C29" s="15">
        <f>HLOOKUP($A29, 'Loan Origination'!$B$8:$AM$49, 'Loan Origination'!$AP$49, FALSE)</f>
        <v>380151000</v>
      </c>
      <c r="D29" s="15">
        <f t="shared" si="3"/>
        <v>381484000</v>
      </c>
      <c r="E29" s="19">
        <f>VLOOKUP($A29, Assumptions!$A$8:$P$44, Assumptions!$P$1, FALSE)</f>
        <v>5.5E-2</v>
      </c>
      <c r="F29" s="120">
        <f>HLOOKUP($A29, 'Loan Origination'!$B$56:$AM$61, 'Loan Origination'!$AP$61, FALSE)</f>
        <v>1</v>
      </c>
      <c r="G29" s="15">
        <f t="shared" si="4"/>
        <v>20981620</v>
      </c>
    </row>
    <row r="30" spans="1:7">
      <c r="A30" s="18">
        <f>Assumptions!A30</f>
        <v>2046</v>
      </c>
      <c r="B30" s="15">
        <f>HLOOKUP($A30-1, 'Loan Origination'!$B$8:$AM$49, 'Loan Origination'!$AP$49, FALSE)</f>
        <v>380151000</v>
      </c>
      <c r="C30" s="15">
        <f>HLOOKUP($A30, 'Loan Origination'!$B$8:$AM$49, 'Loan Origination'!$AP$49, FALSE)</f>
        <v>340116000</v>
      </c>
      <c r="D30" s="15">
        <f t="shared" si="3"/>
        <v>360133500</v>
      </c>
      <c r="E30" s="19">
        <f>VLOOKUP($A30, Assumptions!$A$8:$P$44, Assumptions!$P$1, FALSE)</f>
        <v>5.5E-2</v>
      </c>
      <c r="F30" s="120">
        <f>HLOOKUP($A30, 'Loan Origination'!$B$56:$AM$61, 'Loan Origination'!$AP$61, FALSE)</f>
        <v>1</v>
      </c>
      <c r="G30" s="15">
        <f t="shared" si="4"/>
        <v>19807342.5</v>
      </c>
    </row>
    <row r="31" spans="1:7">
      <c r="A31" s="18">
        <f>Assumptions!A31</f>
        <v>2047</v>
      </c>
      <c r="B31" s="15">
        <f>HLOOKUP($A31-1, 'Loan Origination'!$B$8:$AM$49, 'Loan Origination'!$AP$49, FALSE)</f>
        <v>340116000</v>
      </c>
      <c r="C31" s="15">
        <f>HLOOKUP($A31, 'Loan Origination'!$B$8:$AM$49, 'Loan Origination'!$AP$49, FALSE)</f>
        <v>304717000</v>
      </c>
      <c r="D31" s="15">
        <f t="shared" si="3"/>
        <v>322416500</v>
      </c>
      <c r="E31" s="19">
        <f>VLOOKUP($A31, Assumptions!$A$8:$P$44, Assumptions!$P$1, FALSE)</f>
        <v>5.5E-2</v>
      </c>
      <c r="F31" s="120">
        <f>HLOOKUP($A31, 'Loan Origination'!$B$56:$AM$61, 'Loan Origination'!$AP$61, FALSE)</f>
        <v>1</v>
      </c>
      <c r="G31" s="15">
        <f t="shared" si="4"/>
        <v>17732907.5</v>
      </c>
    </row>
    <row r="32" spans="1:7">
      <c r="A32" s="18">
        <f>Assumptions!A32</f>
        <v>2048</v>
      </c>
      <c r="B32" s="15">
        <f>HLOOKUP($A32-1, 'Loan Origination'!$B$8:$AM$49, 'Loan Origination'!$AP$49, FALSE)</f>
        <v>304717000</v>
      </c>
      <c r="C32" s="15">
        <f>HLOOKUP($A32, 'Loan Origination'!$B$8:$AM$49, 'Loan Origination'!$AP$49, FALSE)</f>
        <v>275383000</v>
      </c>
      <c r="D32" s="15">
        <f t="shared" si="3"/>
        <v>290050000</v>
      </c>
      <c r="E32" s="19">
        <f>VLOOKUP($A32, Assumptions!$A$8:$P$44, Assumptions!$P$1, FALSE)</f>
        <v>5.5E-2</v>
      </c>
      <c r="F32" s="120">
        <f>HLOOKUP($A32, 'Loan Origination'!$B$56:$AM$61, 'Loan Origination'!$AP$61, FALSE)</f>
        <v>1</v>
      </c>
      <c r="G32" s="15">
        <f t="shared" si="4"/>
        <v>15952750</v>
      </c>
    </row>
    <row r="33" spans="1:7">
      <c r="A33" s="18">
        <f>Assumptions!A33</f>
        <v>2049</v>
      </c>
      <c r="B33" s="15">
        <f>HLOOKUP($A33-1, 'Loan Origination'!$B$8:$AM$49, 'Loan Origination'!$AP$49, FALSE)</f>
        <v>275383000</v>
      </c>
      <c r="C33" s="15">
        <f>HLOOKUP($A33, 'Loan Origination'!$B$8:$AM$49, 'Loan Origination'!$AP$49, FALSE)</f>
        <v>283497000</v>
      </c>
      <c r="D33" s="15">
        <f t="shared" si="3"/>
        <v>279440000</v>
      </c>
      <c r="E33" s="19">
        <f>VLOOKUP($A33, Assumptions!$A$8:$P$44, Assumptions!$P$1, FALSE)</f>
        <v>5.5E-2</v>
      </c>
      <c r="F33" s="120">
        <f>HLOOKUP($A33, 'Loan Origination'!$B$56:$AM$61, 'Loan Origination'!$AP$61, FALSE)</f>
        <v>1</v>
      </c>
      <c r="G33" s="15">
        <f t="shared" si="4"/>
        <v>15369200</v>
      </c>
    </row>
    <row r="34" spans="1:7">
      <c r="A34" s="18">
        <f>Assumptions!A34</f>
        <v>2050</v>
      </c>
      <c r="B34" s="15">
        <f>HLOOKUP($A34-1, 'Loan Origination'!$B$8:$AM$49, 'Loan Origination'!$AP$49, FALSE)</f>
        <v>283497000</v>
      </c>
      <c r="C34" s="15">
        <f>HLOOKUP($A34, 'Loan Origination'!$B$8:$AM$49, 'Loan Origination'!$AP$49, FALSE)</f>
        <v>277378000</v>
      </c>
      <c r="D34" s="15">
        <f t="shared" si="3"/>
        <v>280437500</v>
      </c>
      <c r="E34" s="19">
        <f>VLOOKUP($A34, Assumptions!$A$8:$P$44, Assumptions!$P$1, FALSE)</f>
        <v>5.5E-2</v>
      </c>
      <c r="F34" s="120">
        <f>HLOOKUP($A34, 'Loan Origination'!$B$56:$AM$61, 'Loan Origination'!$AP$61, FALSE)</f>
        <v>1</v>
      </c>
      <c r="G34" s="15">
        <f t="shared" si="4"/>
        <v>15424062.5</v>
      </c>
    </row>
    <row r="35" spans="1:7">
      <c r="A35" s="18">
        <f>Assumptions!A35</f>
        <v>2051</v>
      </c>
      <c r="B35" s="15">
        <f>HLOOKUP($A35-1, 'Loan Origination'!$B$8:$AM$49, 'Loan Origination'!$AP$49, FALSE)</f>
        <v>277378000</v>
      </c>
      <c r="C35" s="15">
        <f>HLOOKUP($A35, 'Loan Origination'!$B$8:$AM$49, 'Loan Origination'!$AP$49, FALSE)</f>
        <v>241355000</v>
      </c>
      <c r="D35" s="15">
        <f t="shared" si="3"/>
        <v>259366500</v>
      </c>
      <c r="E35" s="19">
        <f>VLOOKUP($A35, Assumptions!$A$8:$P$44, Assumptions!$P$1, FALSE)</f>
        <v>5.5E-2</v>
      </c>
      <c r="F35" s="120">
        <f>HLOOKUP($A35, 'Loan Origination'!$B$56:$AM$61, 'Loan Origination'!$AP$61, FALSE)</f>
        <v>1</v>
      </c>
      <c r="G35" s="15">
        <f t="shared" si="4"/>
        <v>14265157.5</v>
      </c>
    </row>
    <row r="36" spans="1:7">
      <c r="A36" s="18">
        <f>Assumptions!A36</f>
        <v>2052</v>
      </c>
      <c r="B36" s="15">
        <f>HLOOKUP($A36-1, 'Loan Origination'!$B$8:$AM$49, 'Loan Origination'!$AP$49, FALSE)</f>
        <v>241355000</v>
      </c>
      <c r="C36" s="15">
        <f>HLOOKUP($A36, 'Loan Origination'!$B$8:$AM$49, 'Loan Origination'!$AP$49, FALSE)</f>
        <v>204165000</v>
      </c>
      <c r="D36" s="15">
        <f t="shared" si="3"/>
        <v>222760000</v>
      </c>
      <c r="E36" s="19">
        <f>VLOOKUP($A36, Assumptions!$A$8:$P$44, Assumptions!$P$1, FALSE)</f>
        <v>5.5E-2</v>
      </c>
      <c r="F36" s="120">
        <f>HLOOKUP($A36, 'Loan Origination'!$B$56:$AM$61, 'Loan Origination'!$AP$61, FALSE)</f>
        <v>1</v>
      </c>
      <c r="G36" s="15">
        <f t="shared" si="4"/>
        <v>12251800</v>
      </c>
    </row>
    <row r="37" spans="1:7">
      <c r="A37" s="18">
        <f>Assumptions!A37</f>
        <v>2053</v>
      </c>
      <c r="B37" s="15">
        <f>HLOOKUP($A37-1, 'Loan Origination'!$B$8:$AM$49, 'Loan Origination'!$AP$49, FALSE)</f>
        <v>204165000</v>
      </c>
      <c r="C37" s="15">
        <f>HLOOKUP($A37, 'Loan Origination'!$B$8:$AM$49, 'Loan Origination'!$AP$49, FALSE)</f>
        <v>165484000</v>
      </c>
      <c r="D37" s="15">
        <f t="shared" ref="D37:D44" si="5">SUM(B37:C37)/2</f>
        <v>184824500</v>
      </c>
      <c r="E37" s="19">
        <f>VLOOKUP($A37, Assumptions!$A$8:$P$44, Assumptions!$P$1, FALSE)</f>
        <v>5.5E-2</v>
      </c>
      <c r="F37" s="120">
        <f>HLOOKUP($A37, 'Loan Origination'!$B$56:$AM$61, 'Loan Origination'!$AP$61, FALSE)</f>
        <v>1</v>
      </c>
      <c r="G37" s="15">
        <f t="shared" si="4"/>
        <v>10165347.5</v>
      </c>
    </row>
    <row r="38" spans="1:7">
      <c r="A38" s="18">
        <f>Assumptions!A38</f>
        <v>2054</v>
      </c>
      <c r="B38" s="15">
        <f>HLOOKUP($A38-1, 'Loan Origination'!$B$8:$AM$49, 'Loan Origination'!$AP$49, FALSE)</f>
        <v>165484000</v>
      </c>
      <c r="C38" s="15">
        <f>HLOOKUP($A38, 'Loan Origination'!$B$8:$AM$49, 'Loan Origination'!$AP$49, FALSE)</f>
        <v>124820000</v>
      </c>
      <c r="D38" s="15">
        <f t="shared" si="5"/>
        <v>145152000</v>
      </c>
      <c r="E38" s="19">
        <f>VLOOKUP($A38, Assumptions!$A$8:$P$44, Assumptions!$P$1, FALSE)</f>
        <v>5.5E-2</v>
      </c>
      <c r="F38" s="120">
        <f>HLOOKUP($A38, 'Loan Origination'!$B$56:$AM$61, 'Loan Origination'!$AP$61, FALSE)</f>
        <v>1</v>
      </c>
      <c r="G38" s="15">
        <f t="shared" si="4"/>
        <v>7983360</v>
      </c>
    </row>
    <row r="39" spans="1:7">
      <c r="A39" s="18">
        <f>Assumptions!A39</f>
        <v>2055</v>
      </c>
      <c r="B39" s="15">
        <f>HLOOKUP($A39-1, 'Loan Origination'!$B$8:$AM$49, 'Loan Origination'!$AP$49, FALSE)</f>
        <v>124820000</v>
      </c>
      <c r="C39" s="15">
        <f>HLOOKUP($A39, 'Loan Origination'!$B$8:$AM$49, 'Loan Origination'!$AP$49, FALSE)</f>
        <v>83940000</v>
      </c>
      <c r="D39" s="15">
        <f t="shared" si="5"/>
        <v>104380000</v>
      </c>
      <c r="E39" s="19">
        <f>VLOOKUP($A39, Assumptions!$A$8:$P$44, Assumptions!$P$1, FALSE)</f>
        <v>5.5E-2</v>
      </c>
      <c r="F39" s="120">
        <f>HLOOKUP($A39, 'Loan Origination'!$B$56:$AM$61, 'Loan Origination'!$AP$61, FALSE)</f>
        <v>1</v>
      </c>
      <c r="G39" s="15">
        <f t="shared" si="4"/>
        <v>5740900</v>
      </c>
    </row>
    <row r="40" spans="1:7">
      <c r="A40" s="18">
        <f>Assumptions!A40</f>
        <v>2056</v>
      </c>
      <c r="B40" s="15">
        <f>HLOOKUP($A40-1, 'Loan Origination'!$B$8:$AM$49, 'Loan Origination'!$AP$49, FALSE)</f>
        <v>83940000</v>
      </c>
      <c r="C40" s="15">
        <f>HLOOKUP($A40, 'Loan Origination'!$B$8:$AM$49, 'Loan Origination'!$AP$49, FALSE)</f>
        <v>40969000</v>
      </c>
      <c r="D40" s="15">
        <f t="shared" si="5"/>
        <v>62454500</v>
      </c>
      <c r="E40" s="19">
        <f>VLOOKUP($A40, Assumptions!$A$8:$P$44, Assumptions!$P$1, FALSE)</f>
        <v>5.5E-2</v>
      </c>
      <c r="F40" s="120">
        <f>HLOOKUP($A40, 'Loan Origination'!$B$56:$AM$61, 'Loan Origination'!$AP$61, FALSE)</f>
        <v>1</v>
      </c>
      <c r="G40" s="15">
        <f t="shared" si="4"/>
        <v>3434997.5</v>
      </c>
    </row>
    <row r="41" spans="1:7">
      <c r="A41" s="18">
        <f>Assumptions!A41</f>
        <v>2057</v>
      </c>
      <c r="B41" s="15">
        <f>HLOOKUP($A41-1, 'Loan Origination'!$B$8:$AM$49, 'Loan Origination'!$AP$49, FALSE)</f>
        <v>40969000</v>
      </c>
      <c r="C41" s="15">
        <f>HLOOKUP($A41, 'Loan Origination'!$B$8:$AM$49, 'Loan Origination'!$AP$49, FALSE)</f>
        <v>0</v>
      </c>
      <c r="D41" s="15">
        <f t="shared" si="5"/>
        <v>20484500</v>
      </c>
      <c r="E41" s="19">
        <f>VLOOKUP($A41, Assumptions!$A$8:$P$44, Assumptions!$P$1, FALSE)</f>
        <v>5.5E-2</v>
      </c>
      <c r="F41" s="120">
        <f>HLOOKUP($A41, 'Loan Origination'!$B$56:$AM$61, 'Loan Origination'!$AP$61, FALSE)</f>
        <v>1</v>
      </c>
      <c r="G41" s="15">
        <f t="shared" si="4"/>
        <v>1126647.5</v>
      </c>
    </row>
    <row r="42" spans="1:7">
      <c r="A42" s="18">
        <f>Assumptions!A42</f>
        <v>2058</v>
      </c>
      <c r="B42" s="15">
        <f>HLOOKUP($A42-1, 'Loan Origination'!$B$8:$AM$49, 'Loan Origination'!$AP$49, FALSE)</f>
        <v>0</v>
      </c>
      <c r="C42" s="15">
        <f>HLOOKUP($A42, 'Loan Origination'!$B$8:$AM$49, 'Loan Origination'!$AP$49, FALSE)</f>
        <v>0</v>
      </c>
      <c r="D42" s="15">
        <f t="shared" si="5"/>
        <v>0</v>
      </c>
      <c r="E42" s="19">
        <f>VLOOKUP($A42, Assumptions!$A$8:$P$44, Assumptions!$P$1, FALSE)</f>
        <v>5.5E-2</v>
      </c>
      <c r="F42" s="120">
        <f>HLOOKUP($A42, 'Loan Origination'!$B$56:$AM$61, 'Loan Origination'!$AP$61, FALSE)</f>
        <v>1</v>
      </c>
      <c r="G42" s="15">
        <f t="shared" si="4"/>
        <v>0</v>
      </c>
    </row>
    <row r="43" spans="1:7">
      <c r="A43" s="18">
        <f>Assumptions!A43</f>
        <v>2059</v>
      </c>
      <c r="B43" s="15">
        <f>HLOOKUP($A43-1, 'Loan Origination'!$B$8:$AM$49, 'Loan Origination'!$AP$49, FALSE)</f>
        <v>0</v>
      </c>
      <c r="C43" s="15">
        <f>HLOOKUP($A43, 'Loan Origination'!$B$8:$AM$49, 'Loan Origination'!$AP$49, FALSE)</f>
        <v>0</v>
      </c>
      <c r="D43" s="15">
        <f t="shared" si="5"/>
        <v>0</v>
      </c>
      <c r="E43" s="19">
        <f>VLOOKUP($A43, Assumptions!$A$8:$P$44, Assumptions!$P$1, FALSE)</f>
        <v>5.5E-2</v>
      </c>
      <c r="F43" s="120">
        <f>HLOOKUP($A43, 'Loan Origination'!$B$56:$AM$61, 'Loan Origination'!$AP$61, FALSE)</f>
        <v>1</v>
      </c>
      <c r="G43" s="15">
        <f t="shared" si="4"/>
        <v>0</v>
      </c>
    </row>
    <row r="44" spans="1:7">
      <c r="A44" s="18">
        <f>Assumptions!A44</f>
        <v>2060</v>
      </c>
      <c r="B44" s="15">
        <f>HLOOKUP($A44-1, 'Loan Origination'!$B$8:$AM$49, 'Loan Origination'!$AP$49, FALSE)</f>
        <v>0</v>
      </c>
      <c r="C44" s="15">
        <f>HLOOKUP($A44, 'Loan Origination'!$B$8:$AM$49, 'Loan Origination'!$AP$49, FALSE)</f>
        <v>0</v>
      </c>
      <c r="D44" s="15">
        <f t="shared" si="5"/>
        <v>0</v>
      </c>
      <c r="E44" s="19">
        <f>VLOOKUP($A44, Assumptions!$A$8:$P$44, Assumptions!$P$1, FALSE)</f>
        <v>5.5E-2</v>
      </c>
      <c r="F44" s="120">
        <f>HLOOKUP($A44, 'Loan Origination'!$B$56:$AM$61, 'Loan Origination'!$AP$61, FALSE)</f>
        <v>1</v>
      </c>
      <c r="G44" s="15">
        <f t="shared" si="4"/>
        <v>0</v>
      </c>
    </row>
    <row r="45" spans="1:7">
      <c r="A45" s="18"/>
      <c r="B45" s="15"/>
      <c r="C45" s="15"/>
      <c r="D45" s="15"/>
      <c r="E45" s="19"/>
      <c r="F45" s="19"/>
      <c r="G45" s="15"/>
    </row>
    <row r="46" spans="1:7">
      <c r="A46" s="18"/>
      <c r="B46" s="15"/>
      <c r="C46" s="15"/>
      <c r="D46" s="15"/>
      <c r="E46" s="19"/>
      <c r="F46" s="19"/>
      <c r="G46" s="15"/>
    </row>
    <row r="47" spans="1:7">
      <c r="A47" s="18"/>
      <c r="B47" s="15"/>
      <c r="C47" s="15"/>
      <c r="D47" s="15"/>
      <c r="E47" s="19"/>
      <c r="F47" s="19"/>
      <c r="G47" s="15"/>
    </row>
    <row r="48" spans="1:7" ht="16">
      <c r="A48" s="18" t="s">
        <v>7</v>
      </c>
      <c r="G48" s="13">
        <f>SUM(G8:G47)</f>
        <v>872929422.75</v>
      </c>
    </row>
    <row r="49" spans="1:1">
      <c r="A49" s="18"/>
    </row>
    <row r="50" spans="1:1">
      <c r="A50" s="18"/>
    </row>
  </sheetData>
  <mergeCells count="2">
    <mergeCell ref="A2:G2"/>
    <mergeCell ref="A3:G3"/>
  </mergeCells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45" sqref="A45:XFD54"/>
    </sheetView>
  </sheetViews>
  <sheetFormatPr baseColWidth="10" defaultRowHeight="13"/>
  <cols>
    <col min="1" max="1" width="7.1640625" customWidth="1"/>
    <col min="2" max="2" width="14.6640625" bestFit="1" customWidth="1"/>
    <col min="3" max="3" width="10.33203125" bestFit="1" customWidth="1"/>
    <col min="4" max="4" width="12.1640625" bestFit="1" customWidth="1"/>
  </cols>
  <sheetData>
    <row r="1" spans="1:4">
      <c r="A1" s="10">
        <v>1</v>
      </c>
      <c r="B1" s="10">
        <f>A1+1</f>
        <v>2</v>
      </c>
      <c r="C1" s="10">
        <f>B1+1</f>
        <v>3</v>
      </c>
      <c r="D1" s="10">
        <f>C1+1</f>
        <v>4</v>
      </c>
    </row>
    <row r="2" spans="1:4">
      <c r="A2" s="237" t="s">
        <v>0</v>
      </c>
      <c r="B2" s="237"/>
      <c r="C2" s="237"/>
      <c r="D2" s="237"/>
    </row>
    <row r="3" spans="1:4">
      <c r="A3" s="237" t="s">
        <v>75</v>
      </c>
      <c r="B3" s="237"/>
      <c r="C3" s="237"/>
      <c r="D3" s="237"/>
    </row>
    <row r="4" spans="1:4">
      <c r="A4" s="33"/>
      <c r="B4" s="33"/>
      <c r="C4" s="33"/>
      <c r="D4" s="33"/>
    </row>
    <row r="5" spans="1:4">
      <c r="A5" s="33"/>
      <c r="B5" s="3" t="s">
        <v>61</v>
      </c>
      <c r="C5" s="3" t="s">
        <v>63</v>
      </c>
      <c r="D5" s="3" t="s">
        <v>63</v>
      </c>
    </row>
    <row r="6" spans="1:4">
      <c r="A6" s="5" t="s">
        <v>4</v>
      </c>
      <c r="B6" s="5" t="s">
        <v>62</v>
      </c>
      <c r="C6" s="5" t="s">
        <v>64</v>
      </c>
      <c r="D6" s="5" t="s">
        <v>65</v>
      </c>
    </row>
    <row r="7" spans="1:4">
      <c r="A7" s="6"/>
      <c r="B7" s="6"/>
      <c r="C7" s="6"/>
      <c r="D7" s="6"/>
    </row>
    <row r="8" spans="1:4">
      <c r="A8" s="53">
        <f>Assumptions!A8</f>
        <v>2024</v>
      </c>
      <c r="B8" s="75">
        <f>HLOOKUP($A8, 'Loan Origination'!$B$114:$AM$126, 'Loan Origination'!$AP$126, FALSE)</f>
        <v>80000000</v>
      </c>
      <c r="C8" s="8">
        <f>VLOOKUP($A8, Assumptions!$A$8:$M$44, Assumptions!$M$1, FALSE)</f>
        <v>1E-3</v>
      </c>
      <c r="D8" s="75">
        <f t="shared" ref="D8:D37" si="0">B8*C8</f>
        <v>80000</v>
      </c>
    </row>
    <row r="9" spans="1:4">
      <c r="A9" s="53">
        <f>Assumptions!A9</f>
        <v>2025</v>
      </c>
      <c r="B9" s="75">
        <f>HLOOKUP($A9, 'Loan Origination'!$B$114:$AM$126, 'Loan Origination'!$AP$126, FALSE)</f>
        <v>80000000</v>
      </c>
      <c r="C9" s="8">
        <f>VLOOKUP($A9, Assumptions!$A$8:$M$44, Assumptions!$M$1, FALSE)</f>
        <v>1E-3</v>
      </c>
      <c r="D9" s="75">
        <f t="shared" si="0"/>
        <v>80000</v>
      </c>
    </row>
    <row r="10" spans="1:4">
      <c r="A10" s="53">
        <f>Assumptions!A10</f>
        <v>2026</v>
      </c>
      <c r="B10" s="75">
        <f>HLOOKUP($A10, 'Loan Origination'!$B$114:$AM$126, 'Loan Origination'!$AP$126, FALSE)</f>
        <v>80000000</v>
      </c>
      <c r="C10" s="8">
        <f>VLOOKUP($A10, Assumptions!$A$8:$M$44, Assumptions!$M$1, FALSE)</f>
        <v>1E-3</v>
      </c>
      <c r="D10" s="75">
        <f t="shared" si="0"/>
        <v>80000</v>
      </c>
    </row>
    <row r="11" spans="1:4">
      <c r="A11" s="53">
        <f>Assumptions!A11</f>
        <v>2027</v>
      </c>
      <c r="B11" s="75">
        <f>HLOOKUP($A11, 'Loan Origination'!$B$114:$AM$126, 'Loan Origination'!$AP$126, FALSE)</f>
        <v>54710000</v>
      </c>
      <c r="C11" s="8">
        <f>VLOOKUP($A11, Assumptions!$A$8:$M$44, Assumptions!$M$1, FALSE)</f>
        <v>1E-3</v>
      </c>
      <c r="D11" s="75">
        <f t="shared" si="0"/>
        <v>54710</v>
      </c>
    </row>
    <row r="12" spans="1:4">
      <c r="A12" s="53">
        <f>Assumptions!A12</f>
        <v>2028</v>
      </c>
      <c r="B12" s="75">
        <f>HLOOKUP($A12, 'Loan Origination'!$B$114:$AM$126, 'Loan Origination'!$AP$126, FALSE)</f>
        <v>0</v>
      </c>
      <c r="C12" s="8">
        <f>VLOOKUP($A12, Assumptions!$A$8:$M$44, Assumptions!$M$1, FALSE)</f>
        <v>1E-3</v>
      </c>
      <c r="D12" s="75">
        <f t="shared" si="0"/>
        <v>0</v>
      </c>
    </row>
    <row r="13" spans="1:4">
      <c r="A13" s="53">
        <f>Assumptions!A13</f>
        <v>2029</v>
      </c>
      <c r="B13" s="75">
        <f>HLOOKUP($A13, 'Loan Origination'!$B$114:$AM$126, 'Loan Origination'!$AP$126, FALSE)</f>
        <v>0</v>
      </c>
      <c r="C13" s="8">
        <f>VLOOKUP($A13, Assumptions!$A$8:$M$44, Assumptions!$M$1, FALSE)</f>
        <v>1E-3</v>
      </c>
      <c r="D13" s="75">
        <f t="shared" si="0"/>
        <v>0</v>
      </c>
    </row>
    <row r="14" spans="1:4">
      <c r="A14" s="53">
        <f>Assumptions!A14</f>
        <v>2030</v>
      </c>
      <c r="B14" s="75">
        <f>HLOOKUP($A14, 'Loan Origination'!$B$114:$AM$126, 'Loan Origination'!$AP$126, FALSE)</f>
        <v>65645000</v>
      </c>
      <c r="C14" s="8">
        <f>VLOOKUP($A14, Assumptions!$A$8:$M$44, Assumptions!$M$1, FALSE)</f>
        <v>1E-3</v>
      </c>
      <c r="D14" s="75">
        <f t="shared" si="0"/>
        <v>65645</v>
      </c>
    </row>
    <row r="15" spans="1:4">
      <c r="A15" s="53">
        <f>Assumptions!A15</f>
        <v>2031</v>
      </c>
      <c r="B15" s="75">
        <f>HLOOKUP($A15, 'Loan Origination'!$B$114:$AM$126, 'Loan Origination'!$AP$126, FALSE)</f>
        <v>0</v>
      </c>
      <c r="C15" s="8">
        <f>VLOOKUP($A15, Assumptions!$A$8:$M$44, Assumptions!$M$1, FALSE)</f>
        <v>1E-3</v>
      </c>
      <c r="D15" s="75">
        <f t="shared" si="0"/>
        <v>0</v>
      </c>
    </row>
    <row r="16" spans="1:4">
      <c r="A16" s="53">
        <f>Assumptions!A16</f>
        <v>2032</v>
      </c>
      <c r="B16" s="75">
        <f>HLOOKUP($A16, 'Loan Origination'!$B$114:$AM$126, 'Loan Origination'!$AP$126, FALSE)</f>
        <v>0</v>
      </c>
      <c r="C16" s="8">
        <f>VLOOKUP($A16, Assumptions!$A$8:$M$44, Assumptions!$M$1, FALSE)</f>
        <v>1E-3</v>
      </c>
      <c r="D16" s="75">
        <f t="shared" si="0"/>
        <v>0</v>
      </c>
    </row>
    <row r="17" spans="1:4">
      <c r="A17" s="53">
        <f>Assumptions!A17</f>
        <v>2033</v>
      </c>
      <c r="B17" s="75">
        <f>HLOOKUP($A17, 'Loan Origination'!$B$114:$AM$126, 'Loan Origination'!$AP$126, FALSE)</f>
        <v>0</v>
      </c>
      <c r="C17" s="8">
        <f>VLOOKUP($A17, Assumptions!$A$8:$M$44, Assumptions!$M$1, FALSE)</f>
        <v>1E-3</v>
      </c>
      <c r="D17" s="75">
        <f t="shared" si="0"/>
        <v>0</v>
      </c>
    </row>
    <row r="18" spans="1:4">
      <c r="A18" s="53">
        <f>Assumptions!A18</f>
        <v>2034</v>
      </c>
      <c r="B18" s="75">
        <f>HLOOKUP($A18, 'Loan Origination'!$B$114:$AM$126, 'Loan Origination'!$AP$126, FALSE)</f>
        <v>22335000</v>
      </c>
      <c r="C18" s="8">
        <f>VLOOKUP($A18, Assumptions!$A$8:$M$44, Assumptions!$M$1, FALSE)</f>
        <v>1E-3</v>
      </c>
      <c r="D18" s="75">
        <f t="shared" si="0"/>
        <v>22335</v>
      </c>
    </row>
    <row r="19" spans="1:4">
      <c r="A19" s="53">
        <f>Assumptions!A19</f>
        <v>2035</v>
      </c>
      <c r="B19" s="75">
        <f>HLOOKUP($A19, 'Loan Origination'!$B$114:$AM$126, 'Loan Origination'!$AP$126, FALSE)</f>
        <v>0</v>
      </c>
      <c r="C19" s="8">
        <f>VLOOKUP($A19, Assumptions!$A$8:$M$44, Assumptions!$M$1, FALSE)</f>
        <v>1E-3</v>
      </c>
      <c r="D19" s="75">
        <f t="shared" si="0"/>
        <v>0</v>
      </c>
    </row>
    <row r="20" spans="1:4">
      <c r="A20" s="53">
        <f>Assumptions!A20</f>
        <v>2036</v>
      </c>
      <c r="B20" s="75">
        <f>HLOOKUP($A20, 'Loan Origination'!$B$114:$AM$126, 'Loan Origination'!$AP$126, FALSE)</f>
        <v>50120000</v>
      </c>
      <c r="C20" s="8">
        <f>VLOOKUP($A20, Assumptions!$A$8:$M$44, Assumptions!$M$1, FALSE)</f>
        <v>1E-3</v>
      </c>
      <c r="D20" s="75">
        <f t="shared" si="0"/>
        <v>50120</v>
      </c>
    </row>
    <row r="21" spans="1:4">
      <c r="A21" s="53">
        <f>Assumptions!A21</f>
        <v>2037</v>
      </c>
      <c r="B21" s="75">
        <f>HLOOKUP($A21, 'Loan Origination'!$B$114:$AM$126, 'Loan Origination'!$AP$126, FALSE)</f>
        <v>0</v>
      </c>
      <c r="C21" s="8">
        <f>VLOOKUP($A21, Assumptions!$A$8:$M$44, Assumptions!$M$1, FALSE)</f>
        <v>1E-3</v>
      </c>
      <c r="D21" s="75">
        <f t="shared" si="0"/>
        <v>0</v>
      </c>
    </row>
    <row r="22" spans="1:4">
      <c r="A22" s="53">
        <f>Assumptions!A22</f>
        <v>2038</v>
      </c>
      <c r="B22" s="75">
        <f>HLOOKUP($A22, 'Loan Origination'!$B$114:$AM$126, 'Loan Origination'!$AP$126, FALSE)</f>
        <v>52880000</v>
      </c>
      <c r="C22" s="8">
        <f>VLOOKUP($A22, Assumptions!$A$8:$M$44, Assumptions!$M$1, FALSE)</f>
        <v>1E-3</v>
      </c>
      <c r="D22" s="75">
        <f t="shared" si="0"/>
        <v>52880</v>
      </c>
    </row>
    <row r="23" spans="1:4">
      <c r="A23" s="53">
        <f>Assumptions!A23</f>
        <v>2039</v>
      </c>
      <c r="B23" s="75">
        <f>HLOOKUP($A23, 'Loan Origination'!$B$114:$AM$126, 'Loan Origination'!$AP$126, FALSE)</f>
        <v>49280000</v>
      </c>
      <c r="C23" s="8">
        <f>VLOOKUP($A23, Assumptions!$A$8:$M$44, Assumptions!$M$1, FALSE)</f>
        <v>1E-3</v>
      </c>
      <c r="D23" s="75">
        <f t="shared" si="0"/>
        <v>49280</v>
      </c>
    </row>
    <row r="24" spans="1:4">
      <c r="A24" s="53">
        <f>Assumptions!A24</f>
        <v>2040</v>
      </c>
      <c r="B24" s="75">
        <f>HLOOKUP($A24, 'Loan Origination'!$B$114:$AM$126, 'Loan Origination'!$AP$126, FALSE)</f>
        <v>48120000</v>
      </c>
      <c r="C24" s="8">
        <f>VLOOKUP($A24, Assumptions!$A$8:$M$44, Assumptions!$M$1, FALSE)</f>
        <v>1E-3</v>
      </c>
      <c r="D24" s="75">
        <f t="shared" si="0"/>
        <v>48120</v>
      </c>
    </row>
    <row r="25" spans="1:4">
      <c r="A25" s="53">
        <f>Assumptions!A25</f>
        <v>2041</v>
      </c>
      <c r="B25" s="75">
        <f>HLOOKUP($A25, 'Loan Origination'!$B$114:$AM$126, 'Loan Origination'!$AP$126, FALSE)</f>
        <v>45435000</v>
      </c>
      <c r="C25" s="8">
        <f>VLOOKUP($A25, Assumptions!$A$8:$M$44, Assumptions!$M$1, FALSE)</f>
        <v>1E-3</v>
      </c>
      <c r="D25" s="75">
        <f t="shared" si="0"/>
        <v>45435</v>
      </c>
    </row>
    <row r="26" spans="1:4">
      <c r="A26" s="53">
        <f>Assumptions!A26</f>
        <v>2042</v>
      </c>
      <c r="B26" s="75">
        <f>HLOOKUP($A26, 'Loan Origination'!$B$114:$AM$126, 'Loan Origination'!$AP$126, FALSE)</f>
        <v>0</v>
      </c>
      <c r="C26" s="8">
        <f>VLOOKUP($A26, Assumptions!$A$8:$M$44, Assumptions!$M$1, FALSE)</f>
        <v>1E-3</v>
      </c>
      <c r="D26" s="75">
        <f t="shared" si="0"/>
        <v>0</v>
      </c>
    </row>
    <row r="27" spans="1:4">
      <c r="A27" s="53">
        <f>Assumptions!A27</f>
        <v>2043</v>
      </c>
      <c r="B27" s="75">
        <f>HLOOKUP($A27, 'Loan Origination'!$B$114:$AM$126, 'Loan Origination'!$AP$126, FALSE)</f>
        <v>47185000</v>
      </c>
      <c r="C27" s="8">
        <f>VLOOKUP($A27, Assumptions!$A$8:$M$44, Assumptions!$M$1, FALSE)</f>
        <v>1E-3</v>
      </c>
      <c r="D27" s="75">
        <f t="shared" si="0"/>
        <v>47185</v>
      </c>
    </row>
    <row r="28" spans="1:4">
      <c r="A28" s="53">
        <f>Assumptions!A28</f>
        <v>2044</v>
      </c>
      <c r="B28" s="75">
        <f>HLOOKUP($A28, 'Loan Origination'!$B$114:$AM$126, 'Loan Origination'!$AP$126, FALSE)</f>
        <v>46335000</v>
      </c>
      <c r="C28" s="8">
        <f>VLOOKUP($A28, Assumptions!$A$8:$M$44, Assumptions!$M$1, FALSE)</f>
        <v>1E-3</v>
      </c>
      <c r="D28" s="75">
        <f t="shared" si="0"/>
        <v>46335</v>
      </c>
    </row>
    <row r="29" spans="1:4">
      <c r="A29" s="53">
        <f>Assumptions!A29</f>
        <v>2045</v>
      </c>
      <c r="B29" s="75">
        <f>HLOOKUP($A29, 'Loan Origination'!$B$114:$AM$126, 'Loan Origination'!$AP$126, FALSE)</f>
        <v>40980000</v>
      </c>
      <c r="C29" s="8">
        <f>VLOOKUP($A29, Assumptions!$A$8:$M$44, Assumptions!$M$1, FALSE)</f>
        <v>1E-3</v>
      </c>
      <c r="D29" s="75">
        <f t="shared" si="0"/>
        <v>40980</v>
      </c>
    </row>
    <row r="30" spans="1:4">
      <c r="A30" s="53">
        <f>Assumptions!A30</f>
        <v>2046</v>
      </c>
      <c r="B30" s="75">
        <f>HLOOKUP($A30, 'Loan Origination'!$B$114:$AM$126, 'Loan Origination'!$AP$126, FALSE)</f>
        <v>0</v>
      </c>
      <c r="C30" s="8">
        <f>VLOOKUP($A30, Assumptions!$A$8:$M$44, Assumptions!$M$1, FALSE)</f>
        <v>1E-3</v>
      </c>
      <c r="D30" s="75">
        <f t="shared" si="0"/>
        <v>0</v>
      </c>
    </row>
    <row r="31" spans="1:4">
      <c r="A31" s="53">
        <f>Assumptions!A31</f>
        <v>2047</v>
      </c>
      <c r="B31" s="75">
        <f>HLOOKUP($A31, 'Loan Origination'!$B$114:$AM$126, 'Loan Origination'!$AP$126, FALSE)</f>
        <v>0</v>
      </c>
      <c r="C31" s="8">
        <f>VLOOKUP($A31, Assumptions!$A$8:$M$44, Assumptions!$M$1, FALSE)</f>
        <v>1E-3</v>
      </c>
      <c r="D31" s="75">
        <f t="shared" si="0"/>
        <v>0</v>
      </c>
    </row>
    <row r="32" spans="1:4">
      <c r="A32" s="53">
        <f>Assumptions!A32</f>
        <v>2048</v>
      </c>
      <c r="B32" s="75">
        <f>HLOOKUP($A32, 'Loan Origination'!$B$114:$AM$126, 'Loan Origination'!$AP$126, FALSE)</f>
        <v>0</v>
      </c>
      <c r="C32" s="8">
        <f>VLOOKUP($A32, Assumptions!$A$8:$M$44, Assumptions!$M$1, FALSE)</f>
        <v>1E-3</v>
      </c>
      <c r="D32" s="75">
        <f t="shared" si="0"/>
        <v>0</v>
      </c>
    </row>
    <row r="33" spans="1:4">
      <c r="A33" s="53">
        <f>Assumptions!A33</f>
        <v>2049</v>
      </c>
      <c r="B33" s="75">
        <f>HLOOKUP($A33, 'Loan Origination'!$B$114:$AM$126, 'Loan Origination'!$AP$126, FALSE)</f>
        <v>38845000</v>
      </c>
      <c r="C33" s="8">
        <f>VLOOKUP($A33, Assumptions!$A$8:$M$44, Assumptions!$M$1, FALSE)</f>
        <v>1E-3</v>
      </c>
      <c r="D33" s="75">
        <f t="shared" si="0"/>
        <v>38845</v>
      </c>
    </row>
    <row r="34" spans="1:4">
      <c r="A34" s="53">
        <f>Assumptions!A34</f>
        <v>2050</v>
      </c>
      <c r="B34" s="75">
        <f>HLOOKUP($A34, 'Loan Origination'!$B$114:$AM$126, 'Loan Origination'!$AP$126, FALSE)</f>
        <v>30235000</v>
      </c>
      <c r="C34" s="8">
        <f>VLOOKUP($A34, Assumptions!$A$8:$M$44, Assumptions!$M$1, FALSE)</f>
        <v>1E-3</v>
      </c>
      <c r="D34" s="75">
        <f t="shared" si="0"/>
        <v>30235</v>
      </c>
    </row>
    <row r="35" spans="1:4">
      <c r="A35" s="53">
        <f>Assumptions!A35</f>
        <v>2051</v>
      </c>
      <c r="B35" s="75">
        <f>HLOOKUP($A35, 'Loan Origination'!$B$114:$AM$126, 'Loan Origination'!$AP$126, FALSE)</f>
        <v>0</v>
      </c>
      <c r="C35" s="8">
        <f>VLOOKUP($A35, Assumptions!$A$8:$M$44, Assumptions!$M$1, FALSE)</f>
        <v>1E-3</v>
      </c>
      <c r="D35" s="75">
        <f t="shared" si="0"/>
        <v>0</v>
      </c>
    </row>
    <row r="36" spans="1:4">
      <c r="A36" s="53">
        <f>Assumptions!A36</f>
        <v>2052</v>
      </c>
      <c r="B36" s="75">
        <f>HLOOKUP($A36, 'Loan Origination'!$B$114:$AM$126, 'Loan Origination'!$AP$126, FALSE)</f>
        <v>0</v>
      </c>
      <c r="C36" s="8">
        <f>VLOOKUP($A36, Assumptions!$A$8:$M$44, Assumptions!$M$1, FALSE)</f>
        <v>1E-3</v>
      </c>
      <c r="D36" s="75">
        <f t="shared" si="0"/>
        <v>0</v>
      </c>
    </row>
    <row r="37" spans="1:4">
      <c r="A37" s="53">
        <f>Assumptions!A37</f>
        <v>2053</v>
      </c>
      <c r="B37" s="75">
        <f>HLOOKUP($A37, 'Loan Origination'!$B$114:$AM$126, 'Loan Origination'!$AP$126, FALSE)</f>
        <v>0</v>
      </c>
      <c r="C37" s="8">
        <f>VLOOKUP($A37, Assumptions!$A$8:$M$44, Assumptions!$M$1, FALSE)</f>
        <v>1E-3</v>
      </c>
      <c r="D37" s="75">
        <f t="shared" si="0"/>
        <v>0</v>
      </c>
    </row>
    <row r="38" spans="1:4">
      <c r="A38" s="53">
        <f>Assumptions!A38</f>
        <v>2054</v>
      </c>
      <c r="B38" s="75">
        <f>HLOOKUP($A38, 'Loan Origination'!$B$114:$AM$126, 'Loan Origination'!$AP$126, FALSE)</f>
        <v>0</v>
      </c>
      <c r="C38" s="8">
        <f>VLOOKUP($A38, Assumptions!$A$8:$M$44, Assumptions!$M$1, FALSE)</f>
        <v>1E-3</v>
      </c>
      <c r="D38" s="75">
        <f t="shared" ref="D38:D42" si="1">B38*C38</f>
        <v>0</v>
      </c>
    </row>
    <row r="39" spans="1:4">
      <c r="A39" s="53">
        <f>Assumptions!A39</f>
        <v>2055</v>
      </c>
      <c r="B39" s="75">
        <f>HLOOKUP($A39, 'Loan Origination'!$B$114:$AM$126, 'Loan Origination'!$AP$126, FALSE)</f>
        <v>0</v>
      </c>
      <c r="C39" s="8">
        <f>VLOOKUP($A39, Assumptions!$A$8:$M$44, Assumptions!$M$1, FALSE)</f>
        <v>1E-3</v>
      </c>
      <c r="D39" s="75">
        <f t="shared" si="1"/>
        <v>0</v>
      </c>
    </row>
    <row r="40" spans="1:4">
      <c r="A40" s="53">
        <f>Assumptions!A40</f>
        <v>2056</v>
      </c>
      <c r="B40" s="75">
        <f>HLOOKUP($A40, 'Loan Origination'!$B$114:$AM$126, 'Loan Origination'!$AP$126, FALSE)</f>
        <v>0</v>
      </c>
      <c r="C40" s="8">
        <f>VLOOKUP($A40, Assumptions!$A$8:$M$44, Assumptions!$M$1, FALSE)</f>
        <v>1E-3</v>
      </c>
      <c r="D40" s="75">
        <f t="shared" si="1"/>
        <v>0</v>
      </c>
    </row>
    <row r="41" spans="1:4">
      <c r="A41" s="53">
        <f>Assumptions!A41</f>
        <v>2057</v>
      </c>
      <c r="B41" s="75">
        <f>HLOOKUP($A41, 'Loan Origination'!$B$114:$AM$126, 'Loan Origination'!$AP$126, FALSE)</f>
        <v>0</v>
      </c>
      <c r="C41" s="8">
        <f>VLOOKUP($A41, Assumptions!$A$8:$M$44, Assumptions!$M$1, FALSE)</f>
        <v>1E-3</v>
      </c>
      <c r="D41" s="75">
        <f t="shared" si="1"/>
        <v>0</v>
      </c>
    </row>
    <row r="42" spans="1:4">
      <c r="A42" s="53">
        <f>Assumptions!A42</f>
        <v>2058</v>
      </c>
      <c r="B42" s="75">
        <f>HLOOKUP($A42, 'Loan Origination'!$B$114:$AM$126, 'Loan Origination'!$AP$126, FALSE)</f>
        <v>0</v>
      </c>
      <c r="C42" s="8">
        <f>VLOOKUP($A42, Assumptions!$A$8:$M$44, Assumptions!$M$1, FALSE)</f>
        <v>1E-3</v>
      </c>
      <c r="D42" s="75">
        <f t="shared" si="1"/>
        <v>0</v>
      </c>
    </row>
    <row r="43" spans="1:4">
      <c r="A43" s="53">
        <f>Assumptions!A43</f>
        <v>2059</v>
      </c>
      <c r="B43" s="75">
        <f>HLOOKUP($A43, 'Loan Origination'!$B$114:$AM$126, 'Loan Origination'!$AP$126, FALSE)</f>
        <v>0</v>
      </c>
      <c r="C43" s="8">
        <f>VLOOKUP($A43, Assumptions!$A$8:$M$44, Assumptions!$M$1, FALSE)</f>
        <v>1E-3</v>
      </c>
      <c r="D43" s="75">
        <f t="shared" ref="D43:D44" si="2">B43*C43</f>
        <v>0</v>
      </c>
    </row>
    <row r="44" spans="1:4">
      <c r="A44" s="53">
        <f>Assumptions!A44</f>
        <v>2060</v>
      </c>
      <c r="B44" s="75">
        <f>HLOOKUP($A44, 'Loan Origination'!$B$114:$AM$126, 'Loan Origination'!$AP$126, FALSE)</f>
        <v>0</v>
      </c>
      <c r="C44" s="8">
        <f>VLOOKUP($A44, Assumptions!$A$8:$M$44, Assumptions!$M$1, FALSE)</f>
        <v>1E-3</v>
      </c>
      <c r="D44" s="75">
        <f t="shared" si="2"/>
        <v>0</v>
      </c>
    </row>
    <row r="45" spans="1:4">
      <c r="A45" s="53"/>
      <c r="B45" s="75"/>
      <c r="C45" s="8"/>
      <c r="D45" s="75"/>
    </row>
    <row r="46" spans="1:4" ht="16">
      <c r="A46" s="53"/>
      <c r="B46" s="76"/>
      <c r="C46" s="8"/>
      <c r="D46" s="76"/>
    </row>
    <row r="47" spans="1:4" ht="16">
      <c r="A47" s="53" t="s">
        <v>7</v>
      </c>
      <c r="B47" s="39">
        <f>SUM(B8:B46)</f>
        <v>832105000</v>
      </c>
      <c r="C47" s="33"/>
      <c r="D47" s="39">
        <f>SUM(D8:D46)</f>
        <v>832105</v>
      </c>
    </row>
  </sheetData>
  <mergeCells count="2">
    <mergeCell ref="A2:D2"/>
    <mergeCell ref="A3:D3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8"/>
  <sheetViews>
    <sheetView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T53" sqref="T53"/>
    </sheetView>
  </sheetViews>
  <sheetFormatPr baseColWidth="10" defaultColWidth="7.5" defaultRowHeight="13"/>
  <cols>
    <col min="1" max="1" width="6" bestFit="1" customWidth="1"/>
    <col min="2" max="2" width="8.83203125" bestFit="1" customWidth="1"/>
    <col min="3" max="3" width="12.1640625" bestFit="1" customWidth="1"/>
    <col min="4" max="4" width="13.1640625" bestFit="1" customWidth="1"/>
    <col min="5" max="5" width="3.5" customWidth="1"/>
    <col min="6" max="6" width="10.1640625" bestFit="1" customWidth="1"/>
    <col min="7" max="7" width="8.5" bestFit="1" customWidth="1"/>
    <col min="8" max="8" width="12.1640625" bestFit="1" customWidth="1"/>
    <col min="9" max="9" width="3.1640625" customWidth="1"/>
  </cols>
  <sheetData>
    <row r="1" spans="1:8">
      <c r="A1" s="10">
        <v>1</v>
      </c>
      <c r="B1" s="10">
        <f t="shared" ref="B1:C1" si="0">A1+1</f>
        <v>2</v>
      </c>
      <c r="C1" s="10">
        <f t="shared" si="0"/>
        <v>3</v>
      </c>
      <c r="D1" s="10">
        <f t="shared" ref="D1" si="1">C1+1</f>
        <v>4</v>
      </c>
      <c r="E1" s="10">
        <f t="shared" ref="E1:F1" si="2">D1+1</f>
        <v>5</v>
      </c>
      <c r="F1" s="10">
        <f t="shared" si="2"/>
        <v>6</v>
      </c>
      <c r="G1" s="10">
        <f t="shared" ref="G1" si="3">F1+1</f>
        <v>7</v>
      </c>
      <c r="H1" s="10">
        <f t="shared" ref="H1" si="4">G1+1</f>
        <v>8</v>
      </c>
    </row>
    <row r="3" spans="1:8">
      <c r="A3" s="237"/>
      <c r="B3" s="237"/>
      <c r="C3" s="237"/>
      <c r="D3" s="237"/>
      <c r="F3" s="237"/>
      <c r="G3" s="237"/>
      <c r="H3" s="237"/>
    </row>
    <row r="4" spans="1:8">
      <c r="A4" s="237" t="s">
        <v>103</v>
      </c>
      <c r="B4" s="237"/>
      <c r="C4" s="237"/>
      <c r="D4" s="237"/>
      <c r="F4" s="237" t="s">
        <v>104</v>
      </c>
      <c r="G4" s="237"/>
      <c r="H4" s="237"/>
    </row>
    <row r="5" spans="1:8" s="32" customFormat="1" ht="8"/>
    <row r="6" spans="1:8" s="33" customFormat="1">
      <c r="A6" s="3"/>
      <c r="B6" s="3" t="s">
        <v>58</v>
      </c>
      <c r="C6" s="3" t="s">
        <v>42</v>
      </c>
      <c r="D6" s="3" t="s">
        <v>54</v>
      </c>
      <c r="F6" s="3" t="s">
        <v>42</v>
      </c>
      <c r="G6" s="3" t="s">
        <v>58</v>
      </c>
      <c r="H6" s="3" t="s">
        <v>65</v>
      </c>
    </row>
    <row r="7" spans="1:8" s="33" customFormat="1">
      <c r="A7" s="3"/>
      <c r="B7" s="3" t="s">
        <v>42</v>
      </c>
      <c r="C7" s="3" t="s">
        <v>54</v>
      </c>
      <c r="D7" s="3" t="s">
        <v>81</v>
      </c>
      <c r="F7" s="3" t="s">
        <v>86</v>
      </c>
      <c r="G7" s="3" t="s">
        <v>42</v>
      </c>
      <c r="H7" s="3" t="s">
        <v>81</v>
      </c>
    </row>
    <row r="8" spans="1:8" s="33" customFormat="1">
      <c r="A8" s="5" t="s">
        <v>4</v>
      </c>
      <c r="B8" s="5" t="s">
        <v>12</v>
      </c>
      <c r="C8" s="5" t="s">
        <v>102</v>
      </c>
      <c r="D8" s="5" t="s">
        <v>55</v>
      </c>
      <c r="F8" s="5" t="s">
        <v>59</v>
      </c>
      <c r="G8" s="5" t="s">
        <v>12</v>
      </c>
      <c r="H8" s="5" t="s">
        <v>55</v>
      </c>
    </row>
    <row r="9" spans="1:8" s="6" customFormat="1" ht="7"/>
    <row r="10" spans="1:8" s="33" customFormat="1">
      <c r="A10" s="53">
        <f>Assumptions!A8</f>
        <v>2024</v>
      </c>
      <c r="B10" s="140">
        <f>'Debt Service'!EC259</f>
        <v>4.6710000000000002E-2</v>
      </c>
      <c r="C10" s="79">
        <f>(HLOOKUP($A10, 'Loan Origination'!$C$56:$AM$57, 'Loan Origination'!$AP$57, FALSE)+HLOOKUP($A10, 'Loan Origination'!$C$171:$AM$172, 'Loan Origination'!$AO$172, FALSE))/2</f>
        <v>130062300</v>
      </c>
      <c r="D10" s="75">
        <f>IF(A10&gt;'Debt Service'!$A$72, 0, B10*C10)</f>
        <v>6075210.0329999998</v>
      </c>
      <c r="F10" s="35">
        <f>IF(A10&gt;'Debt Service'!$A$72,0,7500000)</f>
        <v>7500000</v>
      </c>
      <c r="G10" s="78">
        <f>'Debt Service'!Y259</f>
        <v>5.1299999999999998E-2</v>
      </c>
      <c r="H10" s="35">
        <f t="shared" ref="H10:H43" si="5">G10*F10</f>
        <v>384750</v>
      </c>
    </row>
    <row r="11" spans="1:8" s="33" customFormat="1">
      <c r="A11" s="53">
        <f>Assumptions!A9</f>
        <v>2025</v>
      </c>
      <c r="B11" s="140">
        <f>'Debt Service'!EC260</f>
        <v>4.6710000000000002E-2</v>
      </c>
      <c r="C11" s="79">
        <f>(HLOOKUP($A11, 'Loan Origination'!$C$56:$AM$57, 'Loan Origination'!$AP$57, FALSE)+HLOOKUP($A11, 'Loan Origination'!$C$171:$AM$172, 'Loan Origination'!$AO$172, FALSE))/2</f>
        <v>123273100</v>
      </c>
      <c r="D11" s="75">
        <f>IF(A11&gt;'Debt Service'!$A$72, 0, B11*C11)</f>
        <v>5758086.5010000002</v>
      </c>
      <c r="F11" s="35">
        <f>IF(A11&gt;'Debt Service'!$A$72,0,7500000)</f>
        <v>7500000</v>
      </c>
      <c r="G11" s="78">
        <f>'Debt Service'!Y260</f>
        <v>5.1299999999999998E-2</v>
      </c>
      <c r="H11" s="35">
        <f t="shared" si="5"/>
        <v>384750</v>
      </c>
    </row>
    <row r="12" spans="1:8" s="33" customFormat="1">
      <c r="A12" s="53">
        <f>Assumptions!A10</f>
        <v>2026</v>
      </c>
      <c r="B12" s="140">
        <f>'Debt Service'!EC261</f>
        <v>4.6710000000000002E-2</v>
      </c>
      <c r="C12" s="79">
        <f>(HLOOKUP($A12, 'Loan Origination'!$C$56:$AM$57, 'Loan Origination'!$AP$57, FALSE)+HLOOKUP($A12, 'Loan Origination'!$C$171:$AM$172, 'Loan Origination'!$AO$172, FALSE))/2</f>
        <v>137837600</v>
      </c>
      <c r="D12" s="75">
        <f>IF(A12&gt;'Debt Service'!$A$72, 0, B12*C12)</f>
        <v>6438394.2960000001</v>
      </c>
      <c r="F12" s="35">
        <f>IF(A12&gt;'Debt Service'!$A$72,0,7500000)</f>
        <v>7500000</v>
      </c>
      <c r="G12" s="78">
        <f>'Debt Service'!Y261</f>
        <v>5.1299999999999998E-2</v>
      </c>
      <c r="H12" s="35">
        <f t="shared" si="5"/>
        <v>384750</v>
      </c>
    </row>
    <row r="13" spans="1:8" s="33" customFormat="1">
      <c r="A13" s="53">
        <f>Assumptions!A11</f>
        <v>2027</v>
      </c>
      <c r="B13" s="140">
        <f>'Debt Service'!EC262</f>
        <v>4.6710000000000002E-2</v>
      </c>
      <c r="C13" s="79">
        <f>(HLOOKUP($A13, 'Loan Origination'!$C$56:$AM$57, 'Loan Origination'!$AP$57, FALSE)+HLOOKUP($A13, 'Loan Origination'!$C$171:$AM$172, 'Loan Origination'!$AO$172, FALSE))/2</f>
        <v>153770550</v>
      </c>
      <c r="D13" s="75">
        <f>IF(A13&gt;'Debt Service'!$A$72, 0, B13*C13)</f>
        <v>7182622.3905000007</v>
      </c>
      <c r="F13" s="35">
        <f>IF(A13&gt;'Debt Service'!$A$72,0,7500000)</f>
        <v>7500000</v>
      </c>
      <c r="G13" s="78">
        <f>'Debt Service'!Y262</f>
        <v>5.1299999999999998E-2</v>
      </c>
      <c r="H13" s="35">
        <f t="shared" si="5"/>
        <v>384750</v>
      </c>
    </row>
    <row r="14" spans="1:8" s="33" customFormat="1">
      <c r="A14" s="53">
        <f>Assumptions!A12</f>
        <v>2028</v>
      </c>
      <c r="B14" s="140">
        <f>'Debt Service'!EC263</f>
        <v>4.6710000000000002E-2</v>
      </c>
      <c r="C14" s="79">
        <f>(HLOOKUP($A14, 'Loan Origination'!$C$56:$AM$57, 'Loan Origination'!$AP$57, FALSE)+HLOOKUP($A14, 'Loan Origination'!$C$171:$AM$172, 'Loan Origination'!$AO$172, FALSE))/2</f>
        <v>107914000</v>
      </c>
      <c r="D14" s="75">
        <f>IF(A14&gt;'Debt Service'!$A$72, 0, B14*C14)</f>
        <v>5040662.9400000004</v>
      </c>
      <c r="F14" s="35">
        <f>IF(A14&gt;'Debt Service'!$A$72,0,7500000)</f>
        <v>7500000</v>
      </c>
      <c r="G14" s="78">
        <f>'Debt Service'!Y263</f>
        <v>5.1299999999999998E-2</v>
      </c>
      <c r="H14" s="35">
        <f t="shared" si="5"/>
        <v>384750</v>
      </c>
    </row>
    <row r="15" spans="1:8" s="33" customFormat="1">
      <c r="A15" s="53">
        <f>Assumptions!A13</f>
        <v>2029</v>
      </c>
      <c r="B15" s="140">
        <f>'Debt Service'!EC264</f>
        <v>4.6710000000000002E-2</v>
      </c>
      <c r="C15" s="79">
        <f>(HLOOKUP($A15, 'Loan Origination'!$C$56:$AM$57, 'Loan Origination'!$AP$57, FALSE)+HLOOKUP($A15, 'Loan Origination'!$C$171:$AM$172, 'Loan Origination'!$AO$172, FALSE))/2</f>
        <v>52409900</v>
      </c>
      <c r="D15" s="75">
        <f>IF(A15&gt;'Debt Service'!$A$72, 0, B15*C15)</f>
        <v>2448066.429</v>
      </c>
      <c r="F15" s="35">
        <f>IF(A15&gt;'Debt Service'!$A$72,0,7500000)</f>
        <v>7500000</v>
      </c>
      <c r="G15" s="78">
        <f t="shared" ref="G15:G46" si="6">B15</f>
        <v>4.6710000000000002E-2</v>
      </c>
      <c r="H15" s="35">
        <f t="shared" si="5"/>
        <v>350325</v>
      </c>
    </row>
    <row r="16" spans="1:8" s="33" customFormat="1">
      <c r="A16" s="53">
        <f>Assumptions!A14</f>
        <v>2030</v>
      </c>
      <c r="B16" s="140">
        <f>'Debt Service'!EC265</f>
        <v>4.6710000000000002E-2</v>
      </c>
      <c r="C16" s="79">
        <f>(HLOOKUP($A16, 'Loan Origination'!$C$56:$AM$57, 'Loan Origination'!$AP$57, FALSE)+HLOOKUP($A16, 'Loan Origination'!$C$171:$AM$172, 'Loan Origination'!$AO$172, FALSE))/2</f>
        <v>51612250</v>
      </c>
      <c r="D16" s="75">
        <f>IF(A16&gt;'Debt Service'!$A$72, 0, B16*C16)</f>
        <v>2410808.1975000002</v>
      </c>
      <c r="F16" s="35">
        <f>IF(A16&gt;'Debt Service'!$A$72,0,7500000)</f>
        <v>7500000</v>
      </c>
      <c r="G16" s="78">
        <f t="shared" si="6"/>
        <v>4.6710000000000002E-2</v>
      </c>
      <c r="H16" s="35">
        <f t="shared" si="5"/>
        <v>350325</v>
      </c>
    </row>
    <row r="17" spans="1:8" s="33" customFormat="1">
      <c r="A17" s="53">
        <f>Assumptions!A15</f>
        <v>2031</v>
      </c>
      <c r="B17" s="140">
        <f>'Debt Service'!EC266</f>
        <v>4.6710000000000002E-2</v>
      </c>
      <c r="C17" s="79">
        <f>(HLOOKUP($A17, 'Loan Origination'!$C$56:$AM$57, 'Loan Origination'!$AP$57, FALSE)+HLOOKUP($A17, 'Loan Origination'!$C$171:$AM$172, 'Loan Origination'!$AO$172, FALSE))/2</f>
        <v>81389750</v>
      </c>
      <c r="D17" s="75">
        <f>IF(A17&gt;'Debt Service'!$A$72, 0, B17*C17)</f>
        <v>3801715.2225000001</v>
      </c>
      <c r="F17" s="35">
        <f>IF(A17&gt;'Debt Service'!$A$72,0,7500000)</f>
        <v>7500000</v>
      </c>
      <c r="G17" s="78">
        <f t="shared" si="6"/>
        <v>4.6710000000000002E-2</v>
      </c>
      <c r="H17" s="35">
        <f t="shared" si="5"/>
        <v>350325</v>
      </c>
    </row>
    <row r="18" spans="1:8" s="33" customFormat="1">
      <c r="A18" s="53">
        <f>Assumptions!A16</f>
        <v>2032</v>
      </c>
      <c r="B18" s="140">
        <f>'Debt Service'!EC267</f>
        <v>4.6710000000000002E-2</v>
      </c>
      <c r="C18" s="79">
        <f>(HLOOKUP($A18, 'Loan Origination'!$C$56:$AM$57, 'Loan Origination'!$AP$57, FALSE)+HLOOKUP($A18, 'Loan Origination'!$C$171:$AM$172, 'Loan Origination'!$AO$172, FALSE))/2</f>
        <v>86750750</v>
      </c>
      <c r="D18" s="75">
        <f>IF(A18&gt;'Debt Service'!$A$72, 0, B18*C18)</f>
        <v>4052127.5325000002</v>
      </c>
      <c r="F18" s="35">
        <f>IF(A18&gt;'Debt Service'!$A$72,0,7500000)</f>
        <v>7500000</v>
      </c>
      <c r="G18" s="78">
        <f t="shared" si="6"/>
        <v>4.6710000000000002E-2</v>
      </c>
      <c r="H18" s="35">
        <f t="shared" si="5"/>
        <v>350325</v>
      </c>
    </row>
    <row r="19" spans="1:8" s="33" customFormat="1">
      <c r="A19" s="53">
        <f>Assumptions!A17</f>
        <v>2033</v>
      </c>
      <c r="B19" s="140">
        <f>'Debt Service'!EC268</f>
        <v>4.6710000000000002E-2</v>
      </c>
      <c r="C19" s="79">
        <f>(HLOOKUP($A19, 'Loan Origination'!$C$56:$AM$57, 'Loan Origination'!$AP$57, FALSE)+HLOOKUP($A19, 'Loan Origination'!$C$171:$AM$172, 'Loan Origination'!$AO$172, FALSE))/2</f>
        <v>59879372.739842586</v>
      </c>
      <c r="D19" s="75">
        <f>IF(A19&gt;'Debt Service'!$A$72, 0, B19*C19)</f>
        <v>2796965.5006780471</v>
      </c>
      <c r="F19" s="35">
        <f>IF(A19&gt;'Debt Service'!$A$72,0,7500000)</f>
        <v>7500000</v>
      </c>
      <c r="G19" s="78">
        <f t="shared" si="6"/>
        <v>4.6710000000000002E-2</v>
      </c>
      <c r="H19" s="35">
        <f t="shared" si="5"/>
        <v>350325</v>
      </c>
    </row>
    <row r="20" spans="1:8" s="33" customFormat="1">
      <c r="A20" s="53">
        <f>Assumptions!A18</f>
        <v>2034</v>
      </c>
      <c r="B20" s="140">
        <f>'Debt Service'!EC269</f>
        <v>4.6710000000000002E-2</v>
      </c>
      <c r="C20" s="79">
        <f>(HLOOKUP($A20, 'Loan Origination'!$C$56:$AM$57, 'Loan Origination'!$AP$57, FALSE)+HLOOKUP($A20, 'Loan Origination'!$C$171:$AM$172, 'Loan Origination'!$AO$172, FALSE))/2</f>
        <v>54519750</v>
      </c>
      <c r="D20" s="75">
        <f>IF(A20&gt;'Debt Service'!$A$72, 0, B20*C20)</f>
        <v>2546617.5225</v>
      </c>
      <c r="F20" s="35">
        <f>IF(A20&gt;'Debt Service'!$A$72,0,7500000)</f>
        <v>7500000</v>
      </c>
      <c r="G20" s="78">
        <f t="shared" si="6"/>
        <v>4.6710000000000002E-2</v>
      </c>
      <c r="H20" s="35">
        <f t="shared" si="5"/>
        <v>350325</v>
      </c>
    </row>
    <row r="21" spans="1:8" s="33" customFormat="1">
      <c r="A21" s="53">
        <f>Assumptions!A19</f>
        <v>2035</v>
      </c>
      <c r="B21" s="140">
        <f>'Debt Service'!EC270</f>
        <v>4.6710000000000002E-2</v>
      </c>
      <c r="C21" s="79">
        <f>(HLOOKUP($A21, 'Loan Origination'!$C$56:$AM$57, 'Loan Origination'!$AP$57, FALSE)+HLOOKUP($A21, 'Loan Origination'!$C$171:$AM$172, 'Loan Origination'!$AO$172, FALSE))/2</f>
        <v>52995127.260157414</v>
      </c>
      <c r="D21" s="75">
        <f>IF(A21&gt;'Debt Service'!$A$72, 0, B21*C21)</f>
        <v>2475402.3943219529</v>
      </c>
      <c r="F21" s="35">
        <f>IF(A21&gt;'Debt Service'!$A$72,0,7500000)</f>
        <v>7500000</v>
      </c>
      <c r="G21" s="78">
        <f t="shared" si="6"/>
        <v>4.6710000000000002E-2</v>
      </c>
      <c r="H21" s="35">
        <f t="shared" si="5"/>
        <v>350325</v>
      </c>
    </row>
    <row r="22" spans="1:8" s="33" customFormat="1">
      <c r="A22" s="53">
        <f>Assumptions!A20</f>
        <v>2036</v>
      </c>
      <c r="B22" s="140">
        <f>'Debt Service'!EC271</f>
        <v>4.6710000000000002E-2</v>
      </c>
      <c r="C22" s="79">
        <f>(HLOOKUP($A22, 'Loan Origination'!$C$56:$AM$57, 'Loan Origination'!$AP$57, FALSE)+HLOOKUP($A22, 'Loan Origination'!$C$171:$AM$172, 'Loan Origination'!$AO$172, FALSE))/2</f>
        <v>56026750</v>
      </c>
      <c r="D22" s="75">
        <f>IF(A22&gt;'Debt Service'!$A$72, 0, B22*C22)</f>
        <v>2617009.4925000002</v>
      </c>
      <c r="F22" s="35">
        <f>IF(A22&gt;'Debt Service'!$A$72,0,7500000)</f>
        <v>7500000</v>
      </c>
      <c r="G22" s="78">
        <f t="shared" si="6"/>
        <v>4.6710000000000002E-2</v>
      </c>
      <c r="H22" s="35">
        <f t="shared" si="5"/>
        <v>350325</v>
      </c>
    </row>
    <row r="23" spans="1:8" s="33" customFormat="1">
      <c r="A23" s="53">
        <f>Assumptions!A21</f>
        <v>2037</v>
      </c>
      <c r="B23" s="140">
        <f>'Debt Service'!EC272</f>
        <v>4.6710000000000002E-2</v>
      </c>
      <c r="C23" s="79">
        <f>(HLOOKUP($A23, 'Loan Origination'!$C$56:$AM$57, 'Loan Origination'!$AP$57, FALSE)+HLOOKUP($A23, 'Loan Origination'!$C$171:$AM$172, 'Loan Origination'!$AO$172, FALSE))/2</f>
        <v>53750750</v>
      </c>
      <c r="D23" s="75">
        <f>IF(A23&gt;'Debt Service'!$A$72, 0, B23*C23)</f>
        <v>2510697.5325000002</v>
      </c>
      <c r="F23" s="35">
        <f>IF(A23&gt;'Debt Service'!$A$72,0,7500000)</f>
        <v>7500000</v>
      </c>
      <c r="G23" s="78">
        <f t="shared" si="6"/>
        <v>4.6710000000000002E-2</v>
      </c>
      <c r="H23" s="35">
        <f t="shared" si="5"/>
        <v>350325</v>
      </c>
    </row>
    <row r="24" spans="1:8" s="33" customFormat="1">
      <c r="A24" s="53">
        <f>Assumptions!A22</f>
        <v>2038</v>
      </c>
      <c r="B24" s="140">
        <f>'Debt Service'!EC273</f>
        <v>4.6710000000000002E-2</v>
      </c>
      <c r="C24" s="79">
        <f>(HLOOKUP($A24, 'Loan Origination'!$C$56:$AM$57, 'Loan Origination'!$AP$57, FALSE)+HLOOKUP($A24, 'Loan Origination'!$C$171:$AM$172, 'Loan Origination'!$AO$172, FALSE))/2</f>
        <v>50719250</v>
      </c>
      <c r="D24" s="75">
        <f>IF(A24&gt;'Debt Service'!$A$72, 0, B24*C24)</f>
        <v>2369096.1675</v>
      </c>
      <c r="F24" s="35">
        <f>IF(A24&gt;'Debt Service'!$A$72,0,7500000)</f>
        <v>7500000</v>
      </c>
      <c r="G24" s="78">
        <f t="shared" si="6"/>
        <v>4.6710000000000002E-2</v>
      </c>
      <c r="H24" s="35">
        <f t="shared" si="5"/>
        <v>350325</v>
      </c>
    </row>
    <row r="25" spans="1:8" s="33" customFormat="1">
      <c r="A25" s="53">
        <f>Assumptions!A23</f>
        <v>2039</v>
      </c>
      <c r="B25" s="140">
        <f>'Debt Service'!EC274</f>
        <v>4.6710000000000002E-2</v>
      </c>
      <c r="C25" s="79">
        <f>(HLOOKUP($A25, 'Loan Origination'!$C$56:$AM$57, 'Loan Origination'!$AP$57, FALSE)+HLOOKUP($A25, 'Loan Origination'!$C$171:$AM$172, 'Loan Origination'!$AO$172, FALSE))/2</f>
        <v>50000250</v>
      </c>
      <c r="D25" s="75">
        <f>IF(A25&gt;'Debt Service'!$A$72, 0, B25*C25)</f>
        <v>2335511.6775000002</v>
      </c>
      <c r="F25" s="35">
        <f>IF(A25&gt;'Debt Service'!$A$72,0,7500000)</f>
        <v>7500000</v>
      </c>
      <c r="G25" s="78">
        <f t="shared" si="6"/>
        <v>4.6710000000000002E-2</v>
      </c>
      <c r="H25" s="35">
        <f t="shared" si="5"/>
        <v>350325</v>
      </c>
    </row>
    <row r="26" spans="1:8" s="33" customFormat="1">
      <c r="A26" s="53">
        <f>Assumptions!A24</f>
        <v>2040</v>
      </c>
      <c r="B26" s="140">
        <f>'Debt Service'!EC275</f>
        <v>4.6710000000000002E-2</v>
      </c>
      <c r="C26" s="79">
        <f>(HLOOKUP($A26, 'Loan Origination'!$C$56:$AM$57, 'Loan Origination'!$AP$57, FALSE)+HLOOKUP($A26, 'Loan Origination'!$C$171:$AM$172, 'Loan Origination'!$AO$172, FALSE))/2</f>
        <v>50000250</v>
      </c>
      <c r="D26" s="75">
        <f>IF(A26&gt;'Debt Service'!$A$72, 0, B26*C26)</f>
        <v>2335511.6775000002</v>
      </c>
      <c r="F26" s="35">
        <f>IF(A26&gt;'Debt Service'!$A$72,0,7500000)</f>
        <v>7500000</v>
      </c>
      <c r="G26" s="78">
        <f t="shared" si="6"/>
        <v>4.6710000000000002E-2</v>
      </c>
      <c r="H26" s="35">
        <f t="shared" si="5"/>
        <v>350325</v>
      </c>
    </row>
    <row r="27" spans="1:8" s="33" customFormat="1">
      <c r="A27" s="53">
        <f>Assumptions!A25</f>
        <v>2041</v>
      </c>
      <c r="B27" s="140">
        <f>'Debt Service'!EC276</f>
        <v>4.6710000000000002E-2</v>
      </c>
      <c r="C27" s="79">
        <f>(HLOOKUP($A27, 'Loan Origination'!$C$56:$AM$57, 'Loan Origination'!$AP$57, FALSE)+HLOOKUP($A27, 'Loan Origination'!$C$171:$AM$172, 'Loan Origination'!$AO$172, FALSE))/2</f>
        <v>50916250</v>
      </c>
      <c r="D27" s="75">
        <f>IF(A27&gt;'Debt Service'!$A$72, 0, B27*C27)</f>
        <v>2378298.0375000001</v>
      </c>
      <c r="F27" s="35">
        <f>IF(A27&gt;'Debt Service'!$A$72,0,7500000)</f>
        <v>7500000</v>
      </c>
      <c r="G27" s="78">
        <f t="shared" si="6"/>
        <v>4.6710000000000002E-2</v>
      </c>
      <c r="H27" s="35">
        <f t="shared" si="5"/>
        <v>350325</v>
      </c>
    </row>
    <row r="28" spans="1:8" s="33" customFormat="1">
      <c r="A28" s="53">
        <f>Assumptions!A26</f>
        <v>2042</v>
      </c>
      <c r="B28" s="140">
        <f>'Debt Service'!EC277</f>
        <v>4.4182172575396063E-2</v>
      </c>
      <c r="C28" s="79">
        <f>(HLOOKUP($A28, 'Loan Origination'!$C$56:$AM$57, 'Loan Origination'!$AP$57, FALSE)+HLOOKUP($A28, 'Loan Origination'!$C$171:$AM$172, 'Loan Origination'!$AO$172, FALSE))/2</f>
        <v>51837250</v>
      </c>
      <c r="D28" s="75">
        <f>IF(A28&gt;'Debt Service'!$A$72, 0, B28*C28)</f>
        <v>2290282.3253339496</v>
      </c>
      <c r="F28" s="35">
        <f>IF(A28&gt;'Debt Service'!$A$72,0,7500000)</f>
        <v>7500000</v>
      </c>
      <c r="G28" s="78">
        <f t="shared" si="6"/>
        <v>4.4182172575396063E-2</v>
      </c>
      <c r="H28" s="35">
        <f t="shared" si="5"/>
        <v>331366.2943154705</v>
      </c>
    </row>
    <row r="29" spans="1:8" s="33" customFormat="1">
      <c r="A29" s="53">
        <f>Assumptions!A27</f>
        <v>2043</v>
      </c>
      <c r="B29" s="140">
        <f>'Debt Service'!EC278</f>
        <v>4.3000000000000003E-2</v>
      </c>
      <c r="C29" s="79">
        <f>(HLOOKUP($A29, 'Loan Origination'!$C$56:$AM$57, 'Loan Origination'!$AP$57, FALSE)+HLOOKUP($A29, 'Loan Origination'!$C$171:$AM$172, 'Loan Origination'!$AO$172, FALSE))/2</f>
        <v>50922750</v>
      </c>
      <c r="D29" s="75">
        <f>IF(A29&gt;'Debt Service'!$A$72, 0, B29*C29)</f>
        <v>2189678.25</v>
      </c>
      <c r="F29" s="35">
        <f>IF(A29&gt;'Debt Service'!$A$72,0,7500000)</f>
        <v>7500000</v>
      </c>
      <c r="G29" s="78">
        <f t="shared" si="6"/>
        <v>4.3000000000000003E-2</v>
      </c>
      <c r="H29" s="35">
        <f t="shared" si="5"/>
        <v>322500</v>
      </c>
    </row>
    <row r="30" spans="1:8" s="33" customFormat="1">
      <c r="A30" s="53">
        <f>Assumptions!A28</f>
        <v>2044</v>
      </c>
      <c r="B30" s="140">
        <f>'Debt Service'!EC279</f>
        <v>4.3000000000000003E-2</v>
      </c>
      <c r="C30" s="79">
        <f>(HLOOKUP($A30, 'Loan Origination'!$C$56:$AM$57, 'Loan Origination'!$AP$57, FALSE)+HLOOKUP($A30, 'Loan Origination'!$C$171:$AM$172, 'Loan Origination'!$AO$172, FALSE))/2</f>
        <v>50000250</v>
      </c>
      <c r="D30" s="75">
        <f>IF(A30&gt;'Debt Service'!$A$72, 0, B30*C30)</f>
        <v>2150010.75</v>
      </c>
      <c r="F30" s="35">
        <f>IF(A30&gt;'Debt Service'!$A$72,0,7500000)</f>
        <v>7500000</v>
      </c>
      <c r="G30" s="78">
        <f t="shared" si="6"/>
        <v>4.3000000000000003E-2</v>
      </c>
      <c r="H30" s="35">
        <f t="shared" si="5"/>
        <v>322500</v>
      </c>
    </row>
    <row r="31" spans="1:8" s="33" customFormat="1">
      <c r="A31" s="53">
        <f>Assumptions!A29</f>
        <v>2045</v>
      </c>
      <c r="B31" s="140">
        <f>'Debt Service'!EC280</f>
        <v>4.3000000000000003E-2</v>
      </c>
      <c r="C31" s="79">
        <f>(HLOOKUP($A31, 'Loan Origination'!$C$56:$AM$57, 'Loan Origination'!$AP$57, FALSE)+HLOOKUP($A31, 'Loan Origination'!$C$171:$AM$172, 'Loan Origination'!$AO$172, FALSE))/2</f>
        <v>51331250</v>
      </c>
      <c r="D31" s="75">
        <f>IF(A31&gt;'Debt Service'!$A$72, 0, B31*C31)</f>
        <v>2207243.75</v>
      </c>
      <c r="F31" s="35">
        <f>IF(A31&gt;'Debt Service'!$A$72,0,7500000)</f>
        <v>7500000</v>
      </c>
      <c r="G31" s="78">
        <f t="shared" si="6"/>
        <v>4.3000000000000003E-2</v>
      </c>
      <c r="H31" s="35">
        <f t="shared" si="5"/>
        <v>322500</v>
      </c>
    </row>
    <row r="32" spans="1:8" s="33" customFormat="1">
      <c r="A32" s="53">
        <f>Assumptions!A30</f>
        <v>2046</v>
      </c>
      <c r="B32" s="140">
        <f>'Debt Service'!EC281</f>
        <v>4.3000000000000003E-2</v>
      </c>
      <c r="C32" s="79">
        <f>(HLOOKUP($A32, 'Loan Origination'!$C$56:$AM$57, 'Loan Origination'!$AP$57, FALSE)+HLOOKUP($A32, 'Loan Origination'!$C$171:$AM$172, 'Loan Origination'!$AO$172, FALSE))/2</f>
        <v>72681750</v>
      </c>
      <c r="D32" s="75">
        <f>IF(A32&gt;'Debt Service'!$A$72, 0, B32*C32)</f>
        <v>3125315.2500000005</v>
      </c>
      <c r="F32" s="35">
        <f>IF(A32&gt;'Debt Service'!$A$72,0,7500000)</f>
        <v>7500000</v>
      </c>
      <c r="G32" s="78">
        <f t="shared" si="6"/>
        <v>4.3000000000000003E-2</v>
      </c>
      <c r="H32" s="35">
        <f t="shared" si="5"/>
        <v>322500</v>
      </c>
    </row>
    <row r="33" spans="1:11" s="33" customFormat="1">
      <c r="A33" s="53">
        <f>Assumptions!A31</f>
        <v>2047</v>
      </c>
      <c r="B33" s="140">
        <f>'Debt Service'!EC282</f>
        <v>4.3000000000000003E-2</v>
      </c>
      <c r="C33" s="79">
        <f>(HLOOKUP($A33, 'Loan Origination'!$C$56:$AM$57, 'Loan Origination'!$AP$57, FALSE)+HLOOKUP($A33, 'Loan Origination'!$C$171:$AM$172, 'Loan Origination'!$AO$172, FALSE))/2</f>
        <v>110398750</v>
      </c>
      <c r="D33" s="75">
        <f>IF(A33&gt;'Debt Service'!$A$72, 0, B33*C33)</f>
        <v>4747146.25</v>
      </c>
      <c r="F33" s="35">
        <f>IF(A33&gt;'Debt Service'!$A$72,0,7500000)</f>
        <v>7500000</v>
      </c>
      <c r="G33" s="78">
        <f t="shared" si="6"/>
        <v>4.3000000000000003E-2</v>
      </c>
      <c r="H33" s="35">
        <f t="shared" si="5"/>
        <v>322500</v>
      </c>
    </row>
    <row r="34" spans="1:11" s="33" customFormat="1">
      <c r="A34" s="53">
        <f>Assumptions!A32</f>
        <v>2048</v>
      </c>
      <c r="B34" s="140">
        <f>'Debt Service'!EC283</f>
        <v>4.3000000000000003E-2</v>
      </c>
      <c r="C34" s="79">
        <f>(HLOOKUP($A34, 'Loan Origination'!$C$56:$AM$57, 'Loan Origination'!$AP$57, FALSE)+HLOOKUP($A34, 'Loan Origination'!$C$171:$AM$172, 'Loan Origination'!$AO$172, FALSE))/2</f>
        <v>93106250</v>
      </c>
      <c r="D34" s="75">
        <f>IF(A34&gt;'Debt Service'!$A$72, 0, B34*C34)</f>
        <v>4003568.7500000005</v>
      </c>
      <c r="F34" s="35">
        <f>IF(A34&gt;'Debt Service'!$A$72,0,7500000)</f>
        <v>7500000</v>
      </c>
      <c r="G34" s="78">
        <f t="shared" si="6"/>
        <v>4.3000000000000003E-2</v>
      </c>
      <c r="H34" s="35">
        <f t="shared" si="5"/>
        <v>322500</v>
      </c>
    </row>
    <row r="35" spans="1:11" s="33" customFormat="1">
      <c r="A35" s="53">
        <f>Assumptions!A33</f>
        <v>2049</v>
      </c>
      <c r="B35" s="140">
        <f>'Debt Service'!EC284</f>
        <v>4.3000000000000003E-2</v>
      </c>
      <c r="C35" s="79">
        <f>(HLOOKUP($A35, 'Loan Origination'!$C$56:$AM$57, 'Loan Origination'!$AP$57, FALSE)+HLOOKUP($A35, 'Loan Origination'!$C$171:$AM$172, 'Loan Origination'!$AO$172, FALSE))/2</f>
        <v>54057250</v>
      </c>
      <c r="D35" s="75">
        <f>IF(A35&gt;'Debt Service'!$A$72, 0, B35*C35)</f>
        <v>2324461.75</v>
      </c>
      <c r="F35" s="35">
        <f>IF(A35&gt;'Debt Service'!$A$72,0,7500000)</f>
        <v>7500000</v>
      </c>
      <c r="G35" s="78">
        <f t="shared" si="6"/>
        <v>4.3000000000000003E-2</v>
      </c>
      <c r="H35" s="35">
        <f t="shared" si="5"/>
        <v>322500</v>
      </c>
    </row>
    <row r="36" spans="1:11" s="33" customFormat="1">
      <c r="A36" s="53">
        <f>Assumptions!A34</f>
        <v>2050</v>
      </c>
      <c r="B36" s="140">
        <f>'Debt Service'!EC285</f>
        <v>4.3000000000000003E-2</v>
      </c>
      <c r="C36" s="79">
        <f>(HLOOKUP($A36, 'Loan Origination'!$C$56:$AM$57, 'Loan Origination'!$AP$57, FALSE)+HLOOKUP($A36, 'Loan Origination'!$C$171:$AM$172, 'Loan Origination'!$AO$172, FALSE))/2</f>
        <v>53059750</v>
      </c>
      <c r="D36" s="75">
        <f>IF(A36&gt;'Debt Service'!$A$72, 0, B36*C36)</f>
        <v>2281569.25</v>
      </c>
      <c r="F36" s="35">
        <f>IF(A36&gt;'Debt Service'!$A$72,0,7500000)</f>
        <v>7500000</v>
      </c>
      <c r="G36" s="78">
        <f t="shared" si="6"/>
        <v>4.3000000000000003E-2</v>
      </c>
      <c r="H36" s="35">
        <f t="shared" si="5"/>
        <v>322500</v>
      </c>
    </row>
    <row r="37" spans="1:11" s="33" customFormat="1">
      <c r="A37" s="53">
        <f>Assumptions!A35</f>
        <v>2051</v>
      </c>
      <c r="B37" s="140">
        <f>'Debt Service'!EC286</f>
        <v>4.3000000000000003E-2</v>
      </c>
      <c r="C37" s="79">
        <f>(HLOOKUP($A37, 'Loan Origination'!$C$56:$AM$57, 'Loan Origination'!$AP$57, FALSE)+HLOOKUP($A37, 'Loan Origination'!$C$171:$AM$172, 'Loan Origination'!$AO$172, FALSE))/2</f>
        <v>74130750</v>
      </c>
      <c r="D37" s="75">
        <f>IF(A37&gt;'Debt Service'!$A$72, 0, B37*C37)</f>
        <v>3187622.2500000005</v>
      </c>
      <c r="F37" s="35">
        <f>IF(A37&gt;'Debt Service'!$A$72,0,7500000)</f>
        <v>7500000</v>
      </c>
      <c r="G37" s="78">
        <f t="shared" si="6"/>
        <v>4.3000000000000003E-2</v>
      </c>
      <c r="H37" s="35">
        <f t="shared" si="5"/>
        <v>322500</v>
      </c>
    </row>
    <row r="38" spans="1:11" s="33" customFormat="1">
      <c r="A38" s="53">
        <f>Assumptions!A36</f>
        <v>2052</v>
      </c>
      <c r="B38" s="140">
        <f>'Debt Service'!EC287</f>
        <v>4.3000000000000003E-2</v>
      </c>
      <c r="C38" s="79">
        <f>(HLOOKUP($A38, 'Loan Origination'!$C$56:$AM$57, 'Loan Origination'!$AP$57, FALSE)+HLOOKUP($A38, 'Loan Origination'!$C$171:$AM$172, 'Loan Origination'!$AO$172, FALSE))/2</f>
        <v>74926750</v>
      </c>
      <c r="D38" s="75">
        <f>IF(A38&gt;'Debt Service'!$A$72, 0, B38*C38)</f>
        <v>3221850.2500000005</v>
      </c>
      <c r="F38" s="35">
        <f>IF(A38&gt;'Debt Service'!$A$72,0,7500000)</f>
        <v>7500000</v>
      </c>
      <c r="G38" s="78">
        <f t="shared" si="6"/>
        <v>4.3000000000000003E-2</v>
      </c>
      <c r="H38" s="35">
        <f t="shared" si="5"/>
        <v>322500</v>
      </c>
    </row>
    <row r="39" spans="1:11" s="33" customFormat="1">
      <c r="A39" s="53">
        <f>Assumptions!A37</f>
        <v>2053</v>
      </c>
      <c r="B39" s="140">
        <f>'Debt Service'!EC288</f>
        <v>4.3000000000000003E-2</v>
      </c>
      <c r="C39" s="79">
        <f>(HLOOKUP($A39, 'Loan Origination'!$C$56:$AM$57, 'Loan Origination'!$AP$57, FALSE)+HLOOKUP($A39, 'Loan Origination'!$C$171:$AM$172, 'Loan Origination'!$AO$172, FALSE))/2</f>
        <v>77051750</v>
      </c>
      <c r="D39" s="75">
        <f>IF(A39&gt;'Debt Service'!$A$72, 0, B39*C39)</f>
        <v>3313225.2500000005</v>
      </c>
      <c r="F39" s="35">
        <f>IF(A39&gt;'Debt Service'!$A$72,0,7500000)</f>
        <v>7500000</v>
      </c>
      <c r="G39" s="78">
        <f t="shared" si="6"/>
        <v>4.3000000000000003E-2</v>
      </c>
      <c r="H39" s="35">
        <f t="shared" si="5"/>
        <v>322500</v>
      </c>
    </row>
    <row r="40" spans="1:11" s="33" customFormat="1">
      <c r="A40" s="53">
        <f>Assumptions!A38</f>
        <v>2054</v>
      </c>
      <c r="B40" s="140">
        <f>'Debt Service'!EC289</f>
        <v>4.3000000000000003E-2</v>
      </c>
      <c r="C40" s="79">
        <f>(HLOOKUP($A40, 'Loan Origination'!$C$56:$AM$57, 'Loan Origination'!$AP$57, FALSE)+HLOOKUP($A40, 'Loan Origination'!$C$171:$AM$172, 'Loan Origination'!$AO$172, FALSE))/2</f>
        <v>116724250</v>
      </c>
      <c r="D40" s="75">
        <f>IF(A40&gt;'Debt Service'!$A$72, 0, B40*C40)</f>
        <v>5019142.75</v>
      </c>
      <c r="F40" s="35">
        <f>IF(A40&gt;'Debt Service'!$A$72,0,7500000)</f>
        <v>7500000</v>
      </c>
      <c r="G40" s="78">
        <f t="shared" si="6"/>
        <v>4.3000000000000003E-2</v>
      </c>
      <c r="H40" s="35">
        <f t="shared" si="5"/>
        <v>322500</v>
      </c>
    </row>
    <row r="41" spans="1:11" s="33" customFormat="1">
      <c r="A41" s="53">
        <f>Assumptions!A39</f>
        <v>2055</v>
      </c>
      <c r="B41" s="140">
        <f>'Debt Service'!EC290</f>
        <v>4.3000000000000003E-2</v>
      </c>
      <c r="C41" s="79">
        <f>(HLOOKUP($A41, 'Loan Origination'!$C$56:$AM$57, 'Loan Origination'!$AP$57, FALSE)+HLOOKUP($A41, 'Loan Origination'!$C$171:$AM$172, 'Loan Origination'!$AO$172, FALSE))/2</f>
        <v>121710250</v>
      </c>
      <c r="D41" s="75">
        <f>IF(A41&gt;'Debt Service'!$A$72, 0, B41*C41)</f>
        <v>5233540.75</v>
      </c>
      <c r="F41" s="35">
        <f>IF(A41&gt;'Debt Service'!$A$72,0,7500000)</f>
        <v>7500000</v>
      </c>
      <c r="G41" s="78">
        <f t="shared" si="6"/>
        <v>4.3000000000000003E-2</v>
      </c>
      <c r="H41" s="35">
        <f t="shared" si="5"/>
        <v>322500</v>
      </c>
    </row>
    <row r="42" spans="1:11" s="33" customFormat="1">
      <c r="A42" s="53">
        <f>Assumptions!A40</f>
        <v>2056</v>
      </c>
      <c r="B42" s="140">
        <f>'Debt Service'!EC291</f>
        <v>4.3000000000000003E-2</v>
      </c>
      <c r="C42" s="79">
        <f>(HLOOKUP($A42, 'Loan Origination'!$C$56:$AM$57, 'Loan Origination'!$AP$57, FALSE)+HLOOKUP($A42, 'Loan Origination'!$C$171:$AM$172, 'Loan Origination'!$AO$172, FALSE))/2</f>
        <v>127849750</v>
      </c>
      <c r="D42" s="75">
        <f>IF(A42&gt;'Debt Service'!$A$72, 0, B42*C42)</f>
        <v>5497539.25</v>
      </c>
      <c r="F42" s="35">
        <f>IF(A42&gt;'Debt Service'!$A$72,0,7500000)</f>
        <v>7500000</v>
      </c>
      <c r="G42" s="78">
        <f t="shared" si="6"/>
        <v>4.3000000000000003E-2</v>
      </c>
      <c r="H42" s="35">
        <f t="shared" si="5"/>
        <v>322500</v>
      </c>
    </row>
    <row r="43" spans="1:11" s="33" customFormat="1">
      <c r="A43" s="53">
        <f>Assumptions!A41</f>
        <v>2057</v>
      </c>
      <c r="B43" s="140">
        <f>'Debt Service'!EC292</f>
        <v>4.3000000000000003E-2</v>
      </c>
      <c r="C43" s="79">
        <f>(HLOOKUP($A43, 'Loan Origination'!$C$56:$AM$57, 'Loan Origination'!$AP$57, FALSE)+HLOOKUP($A43, 'Loan Origination'!$C$171:$AM$172, 'Loan Origination'!$AO$172, FALSE))/2</f>
        <v>98031750</v>
      </c>
      <c r="D43" s="75">
        <f>IF(A43&gt;'Debt Service'!$A$72, 0, B43*C43)</f>
        <v>4215365.25</v>
      </c>
      <c r="F43" s="35">
        <f>IF(A43&gt;'Debt Service'!$A$72,0,7500000)</f>
        <v>7500000</v>
      </c>
      <c r="G43" s="78">
        <f t="shared" si="6"/>
        <v>4.3000000000000003E-2</v>
      </c>
      <c r="H43" s="35">
        <f t="shared" si="5"/>
        <v>322500</v>
      </c>
    </row>
    <row r="44" spans="1:11" s="33" customFormat="1">
      <c r="A44" s="53">
        <f>Assumptions!A42</f>
        <v>2058</v>
      </c>
      <c r="B44" s="140">
        <f>'Debt Service'!EC293</f>
        <v>4.3000000000000003E-2</v>
      </c>
      <c r="C44" s="79">
        <f>(HLOOKUP($A44, 'Loan Origination'!$C$56:$AM$57, 'Loan Origination'!$AP$57, FALSE)+HLOOKUP($A44, 'Loan Origination'!$C$171:$AM$172, 'Loan Origination'!$AO$172, FALSE))/2</f>
        <v>46728250</v>
      </c>
      <c r="D44" s="75">
        <f>IF(A44&gt;'Debt Service'!$A$72, 0, B44*C44)</f>
        <v>0</v>
      </c>
      <c r="F44" s="35">
        <f>IF(A44&gt;'Debt Service'!$A$72,0,7500000)</f>
        <v>0</v>
      </c>
      <c r="G44" s="78">
        <f t="shared" si="6"/>
        <v>4.3000000000000003E-2</v>
      </c>
      <c r="H44" s="35">
        <f t="shared" ref="H44:H46" si="7">G44*F44</f>
        <v>0</v>
      </c>
    </row>
    <row r="45" spans="1:11" s="33" customFormat="1">
      <c r="A45" s="53">
        <f>Assumptions!A43</f>
        <v>2059</v>
      </c>
      <c r="B45" s="140">
        <f>'Debt Service'!EC294</f>
        <v>4.3000000000000003E-2</v>
      </c>
      <c r="C45" s="79">
        <f>(HLOOKUP($A45, 'Loan Origination'!$C$56:$AM$57, 'Loan Origination'!$AP$57, FALSE)+HLOOKUP($A45, 'Loan Origination'!$C$171:$AM$172, 'Loan Origination'!$AO$172, FALSE))/2</f>
        <v>46728250</v>
      </c>
      <c r="D45" s="75">
        <f>IF(A45&gt;'Debt Service'!$A$72, 0, B45*C45)</f>
        <v>0</v>
      </c>
      <c r="F45" s="35">
        <f>IF(A45&gt;'Debt Service'!$A$72,0,7500000)</f>
        <v>0</v>
      </c>
      <c r="G45" s="78">
        <f t="shared" si="6"/>
        <v>4.3000000000000003E-2</v>
      </c>
      <c r="H45" s="35">
        <f t="shared" si="7"/>
        <v>0</v>
      </c>
      <c r="K45" s="79"/>
    </row>
    <row r="46" spans="1:11" s="33" customFormat="1">
      <c r="A46" s="53">
        <f>Assumptions!A44</f>
        <v>2060</v>
      </c>
      <c r="B46" s="140">
        <f>'Debt Service'!EC295</f>
        <v>4.3000000000000003E-2</v>
      </c>
      <c r="C46" s="79">
        <f>(HLOOKUP($A46, 'Loan Origination'!$C$56:$AM$57, 'Loan Origination'!$AP$57, FALSE)+HLOOKUP($A46, 'Loan Origination'!$C$171:$AM$172, 'Loan Origination'!$AO$172, FALSE))/2</f>
        <v>46728250</v>
      </c>
      <c r="D46" s="75">
        <f>IF(A46&gt;'Debt Service'!$A$72, 0, B46*C46)</f>
        <v>0</v>
      </c>
      <c r="F46" s="35">
        <f>IF(A46&gt;'Debt Service'!$A$72,0,7500000)</f>
        <v>0</v>
      </c>
      <c r="G46" s="78">
        <f t="shared" si="6"/>
        <v>4.3000000000000003E-2</v>
      </c>
      <c r="H46" s="35">
        <f t="shared" si="7"/>
        <v>0</v>
      </c>
    </row>
    <row r="47" spans="1:11" s="33" customFormat="1">
      <c r="A47" s="53"/>
      <c r="B47" s="140"/>
      <c r="C47" s="79"/>
      <c r="D47" s="75"/>
      <c r="F47" s="35"/>
      <c r="G47" s="78"/>
      <c r="H47" s="35"/>
    </row>
    <row r="48" spans="1:11" s="33" customFormat="1">
      <c r="A48" s="53"/>
      <c r="B48" s="78"/>
      <c r="C48" s="79"/>
      <c r="D48" s="75"/>
      <c r="F48" s="35"/>
      <c r="G48" s="78"/>
      <c r="H48" s="35"/>
    </row>
    <row r="49" spans="1:8" s="33" customFormat="1" ht="16">
      <c r="A49" s="53" t="s">
        <v>7</v>
      </c>
      <c r="D49" s="39">
        <f>SUM(D10:D48)</f>
        <v>120580365.61983395</v>
      </c>
      <c r="F49" s="34"/>
      <c r="G49" s="34"/>
      <c r="H49" s="39">
        <f>SUM(H10:H47)</f>
        <v>11646841.29431547</v>
      </c>
    </row>
    <row r="50" spans="1:8" s="6" customFormat="1">
      <c r="A50" s="53"/>
      <c r="B50" s="74"/>
      <c r="C50" s="74"/>
    </row>
    <row r="51" spans="1:8" s="2" customFormat="1"/>
    <row r="52" spans="1:8" s="2" customFormat="1"/>
    <row r="53" spans="1:8" s="2" customFormat="1"/>
    <row r="54" spans="1:8" s="2" customFormat="1"/>
    <row r="55" spans="1:8" s="2" customFormat="1"/>
    <row r="56" spans="1:8" s="2" customFormat="1"/>
    <row r="57" spans="1:8" s="2" customFormat="1"/>
    <row r="58" spans="1:8" s="2" customFormat="1"/>
  </sheetData>
  <mergeCells count="4">
    <mergeCell ref="F3:H3"/>
    <mergeCell ref="F4:H4"/>
    <mergeCell ref="A3:D3"/>
    <mergeCell ref="A4:D4"/>
  </mergeCells>
  <pageMargins left="0.75" right="0.75" top="1" bottom="1" header="0.5" footer="0.5"/>
  <pageSetup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"/>
  <sheetViews>
    <sheetView topLeftCell="A2" workbookViewId="0">
      <selection activeCell="D53" sqref="D53"/>
    </sheetView>
  </sheetViews>
  <sheetFormatPr baseColWidth="10" defaultColWidth="7.5" defaultRowHeight="13"/>
  <cols>
    <col min="1" max="1" width="5.1640625" bestFit="1" customWidth="1"/>
    <col min="2" max="2" width="8.33203125" bestFit="1" customWidth="1"/>
    <col min="3" max="3" width="16.33203125" bestFit="1" customWidth="1"/>
    <col min="4" max="4" width="12.1640625" bestFit="1" customWidth="1"/>
    <col min="5" max="5" width="9.5" bestFit="1" customWidth="1"/>
  </cols>
  <sheetData>
    <row r="1" spans="1:5">
      <c r="A1" s="10">
        <v>1</v>
      </c>
      <c r="B1" s="10">
        <f>A1+1</f>
        <v>2</v>
      </c>
      <c r="C1" s="10">
        <f t="shared" ref="C1:D1" si="0">B1+1</f>
        <v>3</v>
      </c>
      <c r="D1" s="10">
        <f t="shared" si="0"/>
        <v>4</v>
      </c>
    </row>
    <row r="2" spans="1:5">
      <c r="A2" s="258" t="s">
        <v>0</v>
      </c>
      <c r="B2" s="258"/>
      <c r="C2" s="258"/>
      <c r="D2" s="258"/>
    </row>
    <row r="3" spans="1:5">
      <c r="A3" s="258" t="s">
        <v>26</v>
      </c>
      <c r="B3" s="258"/>
      <c r="C3" s="258"/>
      <c r="D3" s="258"/>
    </row>
    <row r="4" spans="1:5" s="32" customFormat="1" ht="8">
      <c r="A4" s="267"/>
      <c r="B4" s="267"/>
      <c r="C4" s="267"/>
      <c r="D4" s="267"/>
    </row>
    <row r="5" spans="1:5" s="33" customFormat="1">
      <c r="A5" s="2"/>
      <c r="B5" s="3" t="s">
        <v>24</v>
      </c>
      <c r="C5" s="3" t="s">
        <v>6</v>
      </c>
      <c r="D5" s="3" t="s">
        <v>22</v>
      </c>
    </row>
    <row r="6" spans="1:5" s="33" customFormat="1">
      <c r="A6" s="4" t="s">
        <v>4</v>
      </c>
      <c r="B6" s="5" t="s">
        <v>25</v>
      </c>
      <c r="C6" s="5" t="s">
        <v>21</v>
      </c>
      <c r="D6" s="5" t="s">
        <v>23</v>
      </c>
    </row>
    <row r="7" spans="1:5" s="6" customFormat="1" ht="7"/>
    <row r="8" spans="1:5" s="33" customFormat="1">
      <c r="A8" s="213">
        <f>Assumptions!A8</f>
        <v>2024</v>
      </c>
      <c r="B8" s="8">
        <v>8.9999999999999998E-4</v>
      </c>
      <c r="C8" s="216">
        <f>'Debt Service'!EA49</f>
        <v>1149380000</v>
      </c>
      <c r="D8" s="35">
        <f t="shared" ref="D8:D40" si="1">IF(C8&gt;0, MAX(B8*C8,150000), 0)</f>
        <v>1034442</v>
      </c>
    </row>
    <row r="9" spans="1:5" s="33" customFormat="1">
      <c r="A9" s="7">
        <f>A8+1</f>
        <v>2025</v>
      </c>
      <c r="B9" s="8">
        <f>B8</f>
        <v>8.9999999999999998E-4</v>
      </c>
      <c r="C9" s="105">
        <f>'Debt Service'!EE11</f>
        <v>1099380000</v>
      </c>
      <c r="D9" s="35">
        <f t="shared" si="1"/>
        <v>989442</v>
      </c>
    </row>
    <row r="10" spans="1:5" s="33" customFormat="1">
      <c r="A10" s="7">
        <f t="shared" ref="A10:A44" si="2">A9+1</f>
        <v>2026</v>
      </c>
      <c r="B10" s="8">
        <f t="shared" ref="B10:B44" si="3">B9</f>
        <v>8.9999999999999998E-4</v>
      </c>
      <c r="C10" s="105">
        <f>'Debt Service'!EE12</f>
        <v>1099380000</v>
      </c>
      <c r="D10" s="35">
        <f t="shared" si="1"/>
        <v>989442</v>
      </c>
    </row>
    <row r="11" spans="1:5" s="33" customFormat="1">
      <c r="A11" s="7">
        <f t="shared" si="2"/>
        <v>2027</v>
      </c>
      <c r="B11" s="8">
        <f t="shared" si="3"/>
        <v>8.9999999999999998E-4</v>
      </c>
      <c r="C11" s="105">
        <f>'Debt Service'!EE13</f>
        <v>1099380000</v>
      </c>
      <c r="D11" s="35">
        <f t="shared" si="1"/>
        <v>989442</v>
      </c>
    </row>
    <row r="12" spans="1:5" s="33" customFormat="1">
      <c r="A12" s="7">
        <f t="shared" si="2"/>
        <v>2028</v>
      </c>
      <c r="B12" s="8">
        <f t="shared" si="3"/>
        <v>8.9999999999999998E-4</v>
      </c>
      <c r="C12" s="105">
        <f>'Debt Service'!EE14</f>
        <v>1082565000</v>
      </c>
      <c r="D12" s="35">
        <f t="shared" si="1"/>
        <v>974308.5</v>
      </c>
    </row>
    <row r="13" spans="1:5" s="33" customFormat="1">
      <c r="A13" s="7">
        <f t="shared" si="2"/>
        <v>2029</v>
      </c>
      <c r="B13" s="8">
        <f t="shared" si="3"/>
        <v>8.9999999999999998E-4</v>
      </c>
      <c r="C13" s="105">
        <f>'Debt Service'!EE15</f>
        <v>863030000</v>
      </c>
      <c r="D13" s="35">
        <f t="shared" si="1"/>
        <v>776727</v>
      </c>
    </row>
    <row r="14" spans="1:5" s="33" customFormat="1">
      <c r="A14" s="7">
        <f t="shared" si="2"/>
        <v>2030</v>
      </c>
      <c r="B14" s="8">
        <f t="shared" si="3"/>
        <v>8.9999999999999998E-4</v>
      </c>
      <c r="C14" s="105">
        <f>'Debt Service'!EE16</f>
        <v>796030000</v>
      </c>
      <c r="D14" s="35">
        <f t="shared" si="1"/>
        <v>716427</v>
      </c>
    </row>
    <row r="15" spans="1:5" s="33" customFormat="1">
      <c r="A15" s="7">
        <f t="shared" si="2"/>
        <v>2031</v>
      </c>
      <c r="B15" s="8">
        <f t="shared" si="3"/>
        <v>8.9999999999999998E-4</v>
      </c>
      <c r="C15" s="105">
        <f>'Debt Service'!EE17</f>
        <v>791030000</v>
      </c>
      <c r="D15" s="35">
        <f t="shared" si="1"/>
        <v>711927</v>
      </c>
    </row>
    <row r="16" spans="1:5" s="33" customFormat="1">
      <c r="A16" s="7">
        <f t="shared" si="2"/>
        <v>2032</v>
      </c>
      <c r="B16" s="8">
        <f t="shared" si="3"/>
        <v>8.9999999999999998E-4</v>
      </c>
      <c r="C16" s="105">
        <f>'Debt Service'!EE18</f>
        <v>791030000</v>
      </c>
      <c r="D16" s="35">
        <f t="shared" si="1"/>
        <v>711927</v>
      </c>
      <c r="E16" s="37"/>
    </row>
    <row r="17" spans="1:4" s="33" customFormat="1">
      <c r="A17" s="7">
        <f t="shared" si="2"/>
        <v>2033</v>
      </c>
      <c r="B17" s="8">
        <f t="shared" si="3"/>
        <v>8.9999999999999998E-4</v>
      </c>
      <c r="C17" s="105">
        <f>'Debt Service'!EE19</f>
        <v>666030000</v>
      </c>
      <c r="D17" s="35">
        <f t="shared" si="1"/>
        <v>599427</v>
      </c>
    </row>
    <row r="18" spans="1:4" s="33" customFormat="1">
      <c r="A18" s="7">
        <f t="shared" si="2"/>
        <v>2034</v>
      </c>
      <c r="B18" s="8">
        <f t="shared" si="3"/>
        <v>8.9999999999999998E-4</v>
      </c>
      <c r="C18" s="105">
        <f>'Debt Service'!EE20</f>
        <v>606030000</v>
      </c>
      <c r="D18" s="35">
        <f t="shared" si="1"/>
        <v>545427</v>
      </c>
    </row>
    <row r="19" spans="1:4" s="33" customFormat="1">
      <c r="A19" s="7">
        <f t="shared" si="2"/>
        <v>2035</v>
      </c>
      <c r="B19" s="8">
        <f t="shared" si="3"/>
        <v>8.9999999999999998E-4</v>
      </c>
      <c r="C19" s="105">
        <f>'Debt Service'!EE21</f>
        <v>565000000</v>
      </c>
      <c r="D19" s="35">
        <f t="shared" si="1"/>
        <v>508500</v>
      </c>
    </row>
    <row r="20" spans="1:4" s="33" customFormat="1">
      <c r="A20" s="7">
        <f t="shared" si="2"/>
        <v>2036</v>
      </c>
      <c r="B20" s="8">
        <f t="shared" si="3"/>
        <v>8.9999999999999998E-4</v>
      </c>
      <c r="C20" s="105">
        <f>'Debt Service'!EE22</f>
        <v>515000000</v>
      </c>
      <c r="D20" s="35">
        <f t="shared" si="1"/>
        <v>463500</v>
      </c>
    </row>
    <row r="21" spans="1:4" s="33" customFormat="1">
      <c r="A21" s="7">
        <f t="shared" si="2"/>
        <v>2037</v>
      </c>
      <c r="B21" s="8">
        <f t="shared" si="3"/>
        <v>8.9999999999999998E-4</v>
      </c>
      <c r="C21" s="105">
        <f>'Debt Service'!EE23</f>
        <v>515000000</v>
      </c>
      <c r="D21" s="35">
        <f t="shared" si="1"/>
        <v>463500</v>
      </c>
    </row>
    <row r="22" spans="1:4" s="33" customFormat="1">
      <c r="A22" s="7">
        <f t="shared" si="2"/>
        <v>2038</v>
      </c>
      <c r="B22" s="8">
        <f t="shared" si="3"/>
        <v>8.9999999999999998E-4</v>
      </c>
      <c r="C22" s="105">
        <f>'Debt Service'!EE24</f>
        <v>455000000</v>
      </c>
      <c r="D22" s="35">
        <f t="shared" si="1"/>
        <v>409500</v>
      </c>
    </row>
    <row r="23" spans="1:4" s="33" customFormat="1">
      <c r="A23" s="7">
        <f t="shared" si="2"/>
        <v>2039</v>
      </c>
      <c r="B23" s="8">
        <f t="shared" si="3"/>
        <v>8.9999999999999998E-4</v>
      </c>
      <c r="C23" s="105">
        <f>'Debt Service'!EE25</f>
        <v>455000000</v>
      </c>
      <c r="D23" s="35">
        <f t="shared" si="1"/>
        <v>409500</v>
      </c>
    </row>
    <row r="24" spans="1:4" s="33" customFormat="1">
      <c r="A24" s="7">
        <f t="shared" si="2"/>
        <v>2040</v>
      </c>
      <c r="B24" s="8">
        <f t="shared" si="3"/>
        <v>8.9999999999999998E-4</v>
      </c>
      <c r="C24" s="105">
        <f>'Debt Service'!EE26</f>
        <v>455000000</v>
      </c>
      <c r="D24" s="35">
        <f t="shared" si="1"/>
        <v>409500</v>
      </c>
    </row>
    <row r="25" spans="1:4" s="33" customFormat="1">
      <c r="A25" s="7">
        <f t="shared" si="2"/>
        <v>2041</v>
      </c>
      <c r="B25" s="8">
        <f t="shared" si="3"/>
        <v>8.9999999999999998E-4</v>
      </c>
      <c r="C25" s="105">
        <f>'Debt Service'!EE27</f>
        <v>455000000</v>
      </c>
      <c r="D25" s="35">
        <f t="shared" si="1"/>
        <v>409500</v>
      </c>
    </row>
    <row r="26" spans="1:4" s="33" customFormat="1">
      <c r="A26" s="7">
        <f t="shared" si="2"/>
        <v>2042</v>
      </c>
      <c r="B26" s="8">
        <f t="shared" si="3"/>
        <v>8.9999999999999998E-4</v>
      </c>
      <c r="C26" s="105">
        <f>'Debt Service'!EE28</f>
        <v>455000000</v>
      </c>
      <c r="D26" s="35">
        <f t="shared" si="1"/>
        <v>409500</v>
      </c>
    </row>
    <row r="27" spans="1:4" s="33" customFormat="1">
      <c r="A27" s="7">
        <f t="shared" si="2"/>
        <v>2043</v>
      </c>
      <c r="B27" s="8">
        <f t="shared" si="3"/>
        <v>8.9999999999999998E-4</v>
      </c>
      <c r="C27" s="105">
        <f>'Debt Service'!EE29</f>
        <v>405000000</v>
      </c>
      <c r="D27" s="35">
        <f t="shared" si="1"/>
        <v>364500</v>
      </c>
    </row>
    <row r="28" spans="1:4" s="33" customFormat="1">
      <c r="A28" s="7">
        <f t="shared" si="2"/>
        <v>2044</v>
      </c>
      <c r="B28" s="8">
        <f t="shared" si="3"/>
        <v>8.9999999999999998E-4</v>
      </c>
      <c r="C28" s="105">
        <f>'Debt Service'!EE30</f>
        <v>405000000</v>
      </c>
      <c r="D28" s="35">
        <f t="shared" si="1"/>
        <v>364500</v>
      </c>
    </row>
    <row r="29" spans="1:4" s="33" customFormat="1">
      <c r="A29" s="7">
        <f t="shared" si="2"/>
        <v>2045</v>
      </c>
      <c r="B29" s="8">
        <f t="shared" si="3"/>
        <v>8.9999999999999998E-4</v>
      </c>
      <c r="C29" s="105">
        <f>'Debt Service'!EE31</f>
        <v>405000000</v>
      </c>
      <c r="D29" s="35">
        <f t="shared" si="1"/>
        <v>364500</v>
      </c>
    </row>
    <row r="30" spans="1:4" s="33" customFormat="1">
      <c r="A30" s="7">
        <f t="shared" si="2"/>
        <v>2046</v>
      </c>
      <c r="B30" s="8">
        <f t="shared" si="3"/>
        <v>8.9999999999999998E-4</v>
      </c>
      <c r="C30" s="105">
        <f>'Debt Service'!EE32</f>
        <v>405000000</v>
      </c>
      <c r="D30" s="35">
        <f t="shared" si="1"/>
        <v>364500</v>
      </c>
    </row>
    <row r="31" spans="1:4" s="33" customFormat="1">
      <c r="A31" s="7">
        <f t="shared" si="2"/>
        <v>2047</v>
      </c>
      <c r="B31" s="8">
        <f t="shared" si="3"/>
        <v>8.9999999999999998E-4</v>
      </c>
      <c r="C31" s="105">
        <f>'Debt Service'!EE33</f>
        <v>405000000</v>
      </c>
      <c r="D31" s="35">
        <f t="shared" si="1"/>
        <v>364500</v>
      </c>
    </row>
    <row r="32" spans="1:4" s="33" customFormat="1">
      <c r="A32" s="7">
        <f t="shared" si="2"/>
        <v>2048</v>
      </c>
      <c r="B32" s="8">
        <f t="shared" si="3"/>
        <v>8.9999999999999998E-4</v>
      </c>
      <c r="C32" s="105">
        <f>'Debt Service'!EE34</f>
        <v>405000000</v>
      </c>
      <c r="D32" s="35">
        <f t="shared" si="1"/>
        <v>364500</v>
      </c>
    </row>
    <row r="33" spans="1:4" s="33" customFormat="1">
      <c r="A33" s="7">
        <f t="shared" si="2"/>
        <v>2049</v>
      </c>
      <c r="B33" s="8">
        <f t="shared" si="3"/>
        <v>8.9999999999999998E-4</v>
      </c>
      <c r="C33" s="105">
        <f>'Debt Service'!EE35</f>
        <v>300000000</v>
      </c>
      <c r="D33" s="35">
        <f t="shared" si="1"/>
        <v>270000</v>
      </c>
    </row>
    <row r="34" spans="1:4" s="33" customFormat="1">
      <c r="A34" s="7">
        <f t="shared" si="2"/>
        <v>2050</v>
      </c>
      <c r="B34" s="8">
        <f t="shared" si="3"/>
        <v>8.9999999999999998E-4</v>
      </c>
      <c r="C34" s="105">
        <f>'Debt Service'!EE36</f>
        <v>300000000</v>
      </c>
      <c r="D34" s="35">
        <f t="shared" si="1"/>
        <v>270000</v>
      </c>
    </row>
    <row r="35" spans="1:4" s="33" customFormat="1">
      <c r="A35" s="7">
        <f t="shared" si="2"/>
        <v>2051</v>
      </c>
      <c r="B35" s="8">
        <f t="shared" si="3"/>
        <v>8.9999999999999998E-4</v>
      </c>
      <c r="C35" s="105">
        <f>'Debt Service'!EE37</f>
        <v>300000000</v>
      </c>
      <c r="D35" s="35">
        <f t="shared" si="1"/>
        <v>270000</v>
      </c>
    </row>
    <row r="36" spans="1:4" s="33" customFormat="1">
      <c r="A36" s="7">
        <f t="shared" si="2"/>
        <v>2052</v>
      </c>
      <c r="B36" s="8">
        <f t="shared" si="3"/>
        <v>8.9999999999999998E-4</v>
      </c>
      <c r="C36" s="105">
        <f>'Debt Service'!EE38</f>
        <v>300000000</v>
      </c>
      <c r="D36" s="35">
        <f t="shared" si="1"/>
        <v>270000</v>
      </c>
    </row>
    <row r="37" spans="1:4" s="33" customFormat="1">
      <c r="A37" s="7">
        <f t="shared" si="2"/>
        <v>2053</v>
      </c>
      <c r="B37" s="8">
        <f t="shared" si="3"/>
        <v>8.9999999999999998E-4</v>
      </c>
      <c r="C37" s="105">
        <f>'Debt Service'!EE39</f>
        <v>225000000</v>
      </c>
      <c r="D37" s="35">
        <f t="shared" si="1"/>
        <v>202500</v>
      </c>
    </row>
    <row r="38" spans="1:4" s="33" customFormat="1">
      <c r="A38" s="7">
        <f t="shared" si="2"/>
        <v>2054</v>
      </c>
      <c r="B38" s="8">
        <f t="shared" si="3"/>
        <v>8.9999999999999998E-4</v>
      </c>
      <c r="C38" s="105">
        <f>'Debt Service'!EE40</f>
        <v>225000000</v>
      </c>
      <c r="D38" s="35">
        <f t="shared" si="1"/>
        <v>202500</v>
      </c>
    </row>
    <row r="39" spans="1:4" s="33" customFormat="1">
      <c r="A39" s="7">
        <f t="shared" si="2"/>
        <v>2055</v>
      </c>
      <c r="B39" s="8">
        <f t="shared" si="3"/>
        <v>8.9999999999999998E-4</v>
      </c>
      <c r="C39" s="105">
        <f>'Debt Service'!EE41</f>
        <v>225000000</v>
      </c>
      <c r="D39" s="35">
        <f t="shared" si="1"/>
        <v>202500</v>
      </c>
    </row>
    <row r="40" spans="1:4" s="33" customFormat="1">
      <c r="A40" s="7">
        <f t="shared" si="2"/>
        <v>2056</v>
      </c>
      <c r="B40" s="8">
        <f t="shared" si="3"/>
        <v>8.9999999999999998E-4</v>
      </c>
      <c r="C40" s="105">
        <f>'Debt Service'!EE42</f>
        <v>150000000</v>
      </c>
      <c r="D40" s="35">
        <f t="shared" si="1"/>
        <v>150000</v>
      </c>
    </row>
    <row r="41" spans="1:4" s="33" customFormat="1">
      <c r="A41" s="7">
        <f t="shared" si="2"/>
        <v>2057</v>
      </c>
      <c r="B41" s="8">
        <f t="shared" si="3"/>
        <v>8.9999999999999998E-4</v>
      </c>
      <c r="C41" s="105">
        <f>'Debt Service'!EE43</f>
        <v>150000000</v>
      </c>
      <c r="D41" s="35">
        <f t="shared" ref="D41:D44" si="4">IF(C41&gt;0, MAX(B41*C41,150000), 0)</f>
        <v>150000</v>
      </c>
    </row>
    <row r="42" spans="1:4" s="33" customFormat="1">
      <c r="A42" s="7">
        <f t="shared" si="2"/>
        <v>2058</v>
      </c>
      <c r="B42" s="8">
        <f t="shared" si="3"/>
        <v>8.9999999999999998E-4</v>
      </c>
      <c r="C42" s="105">
        <f>'Debt Service'!EE44</f>
        <v>0</v>
      </c>
      <c r="D42" s="35">
        <f t="shared" si="4"/>
        <v>0</v>
      </c>
    </row>
    <row r="43" spans="1:4" s="33" customFormat="1">
      <c r="A43" s="7">
        <f t="shared" si="2"/>
        <v>2059</v>
      </c>
      <c r="B43" s="8">
        <f t="shared" si="3"/>
        <v>8.9999999999999998E-4</v>
      </c>
      <c r="C43" s="105">
        <f>'Debt Service'!EE45</f>
        <v>0</v>
      </c>
      <c r="D43" s="35">
        <f t="shared" si="4"/>
        <v>0</v>
      </c>
    </row>
    <row r="44" spans="1:4" s="33" customFormat="1">
      <c r="A44" s="7">
        <f t="shared" si="2"/>
        <v>2060</v>
      </c>
      <c r="B44" s="8">
        <f t="shared" si="3"/>
        <v>8.9999999999999998E-4</v>
      </c>
      <c r="C44" s="105">
        <f>'Debt Service'!EE46</f>
        <v>0</v>
      </c>
      <c r="D44" s="35">
        <f t="shared" si="4"/>
        <v>0</v>
      </c>
    </row>
    <row r="45" spans="1:4" s="33" customFormat="1">
      <c r="A45" s="7"/>
      <c r="B45" s="8"/>
      <c r="C45" s="105"/>
      <c r="D45" s="35"/>
    </row>
    <row r="46" spans="1:4" s="33" customFormat="1">
      <c r="A46" s="7"/>
      <c r="B46" s="8"/>
      <c r="C46" s="105"/>
      <c r="D46" s="35"/>
    </row>
    <row r="47" spans="1:4" s="2" customFormat="1">
      <c r="D47" s="80">
        <f>SUM(D8:D46)</f>
        <v>16696438.5</v>
      </c>
    </row>
    <row r="48" spans="1:4" s="2" customFormat="1"/>
    <row r="49" s="2" customFormat="1"/>
    <row r="50" s="2" customFormat="1"/>
    <row r="51" s="2" customFormat="1"/>
    <row r="52" s="2" customFormat="1"/>
    <row r="53" s="2" customFormat="1"/>
  </sheetData>
  <mergeCells count="3">
    <mergeCell ref="A2:D2"/>
    <mergeCell ref="A3:D3"/>
    <mergeCell ref="A4:D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Assumptions</vt:lpstr>
      <vt:lpstr>Coverage</vt:lpstr>
      <vt:lpstr>Debt Service</vt:lpstr>
      <vt:lpstr>Loan Origination</vt:lpstr>
      <vt:lpstr>Revenue Fund Cash Flow</vt:lpstr>
      <vt:lpstr>Loan Interest</vt:lpstr>
      <vt:lpstr>Origination Fees</vt:lpstr>
      <vt:lpstr>Recycling and Revenue earnings</vt:lpstr>
      <vt:lpstr>Administration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Calhoun</dc:creator>
  <cp:lastModifiedBy>Lucien Calhoun</cp:lastModifiedBy>
  <dcterms:created xsi:type="dcterms:W3CDTF">2012-08-22T19:36:54Z</dcterms:created>
  <dcterms:modified xsi:type="dcterms:W3CDTF">2024-01-31T17:21:07Z</dcterms:modified>
</cp:coreProperties>
</file>